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5ADAFEF7-AAC1-43B8-BFCA-26B224C7ACBD}" xr6:coauthVersionLast="47" xr6:coauthVersionMax="47" xr10:uidLastSave="{00000000-0000-0000-0000-000000000000}"/>
  <bookViews>
    <workbookView xWindow="-28920" yWindow="-120" windowWidth="29040" windowHeight="15720" xr2:uid="{94DA4F0F-B924-4AE2-8970-4B7C6C8F3490}"/>
  </bookViews>
  <sheets>
    <sheet name="Panou" sheetId="1" r:id="rId1"/>
    <sheet name="Stocuri" sheetId="2" r:id="rId2"/>
    <sheet name="Mișcări" sheetId="3" r:id="rId3"/>
    <sheet name="Comandă furnizori" sheetId="4" r:id="rId4"/>
    <sheet name="Inventar rapid" sheetId="5" r:id="rId5"/>
    <sheet name="Produse" sheetId="6" r:id="rId6"/>
    <sheet name="Setări" sheetId="7" r:id="rId7"/>
  </sheets>
  <definedNames>
    <definedName name="Azi">Setări!$C$6</definedName>
    <definedName name="Catalog">Produse!$B$5:$L$204</definedName>
    <definedName name="Categorii">Setări!$H$5:$H$14</definedName>
    <definedName name="Coduri">Produse!$B$5:$B$204</definedName>
    <definedName name="Firma">Setări!$C$4</definedName>
    <definedName name="Gestiunea">Setări!$C$5</definedName>
    <definedName name="TipSemn">Setări!$E$5:$F$12</definedName>
    <definedName name="Tipuri">Setări!$E$5:$E$12</definedName>
    <definedName name="ZileConsum">Setări!$C$7</definedName>
    <definedName name="ZileMort">Setări!$C$8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9" i="1" l="1"/>
  <c r="D19" i="1"/>
  <c r="B19" i="1"/>
  <c r="E18" i="1"/>
  <c r="D18" i="1"/>
  <c r="B18" i="1"/>
  <c r="E17" i="1"/>
  <c r="D17" i="1"/>
  <c r="B17" i="1"/>
  <c r="E16" i="1"/>
  <c r="D16" i="1"/>
  <c r="B16" i="1"/>
  <c r="D15" i="1"/>
  <c r="B15" i="1"/>
  <c r="D14" i="1"/>
  <c r="B14" i="1"/>
  <c r="D13" i="1"/>
  <c r="B13" i="1"/>
  <c r="D12" i="1"/>
  <c r="B12" i="1"/>
  <c r="D11" i="1"/>
  <c r="B11" i="1"/>
  <c r="D10" i="1"/>
  <c r="B10" i="1"/>
  <c r="D5" i="1"/>
  <c r="I6" i="5"/>
  <c r="I7" i="5"/>
  <c r="I10" i="5"/>
  <c r="I11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H6" i="5"/>
  <c r="H7" i="5"/>
  <c r="H10" i="5"/>
  <c r="H11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B5" i="5"/>
  <c r="B6" i="5"/>
  <c r="B7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3" i="2"/>
  <c r="O124" i="2"/>
  <c r="O125" i="2"/>
  <c r="O126" i="2"/>
  <c r="O127" i="2"/>
  <c r="O128" i="2"/>
  <c r="O129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69" i="2"/>
  <c r="O170" i="2"/>
  <c r="O171" i="2"/>
  <c r="O172" i="2"/>
  <c r="O173" i="2"/>
  <c r="O174" i="2"/>
  <c r="O175" i="2"/>
  <c r="O176" i="2"/>
  <c r="O177" i="2"/>
  <c r="O178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5" i="2"/>
  <c r="N36" i="2"/>
  <c r="N37" i="2"/>
  <c r="N38" i="2"/>
  <c r="N39" i="2"/>
  <c r="N40" i="2"/>
  <c r="N41" i="2"/>
  <c r="N42" i="2"/>
  <c r="N43" i="2"/>
  <c r="N44" i="2"/>
  <c r="N45" i="2"/>
  <c r="N46" i="2"/>
  <c r="N47" i="2"/>
  <c r="N48" i="2"/>
  <c r="N49" i="2"/>
  <c r="N50" i="2"/>
  <c r="N51" i="2"/>
  <c r="N52" i="2"/>
  <c r="N53" i="2"/>
  <c r="N54" i="2"/>
  <c r="N55" i="2"/>
  <c r="N56" i="2"/>
  <c r="N57" i="2"/>
  <c r="N58" i="2"/>
  <c r="N59" i="2"/>
  <c r="N60" i="2"/>
  <c r="N61" i="2"/>
  <c r="N62" i="2"/>
  <c r="N63" i="2"/>
  <c r="N64" i="2"/>
  <c r="N65" i="2"/>
  <c r="N66" i="2"/>
  <c r="N67" i="2"/>
  <c r="N68" i="2"/>
  <c r="N69" i="2"/>
  <c r="N70" i="2"/>
  <c r="N71" i="2"/>
  <c r="N72" i="2"/>
  <c r="N73" i="2"/>
  <c r="N74" i="2"/>
  <c r="N75" i="2"/>
  <c r="N76" i="2"/>
  <c r="N77" i="2"/>
  <c r="N78" i="2"/>
  <c r="N79" i="2"/>
  <c r="N80" i="2"/>
  <c r="N81" i="2"/>
  <c r="N82" i="2"/>
  <c r="N83" i="2"/>
  <c r="N84" i="2"/>
  <c r="N85" i="2"/>
  <c r="N86" i="2"/>
  <c r="N87" i="2"/>
  <c r="N88" i="2"/>
  <c r="N89" i="2"/>
  <c r="N90" i="2"/>
  <c r="N91" i="2"/>
  <c r="N92" i="2"/>
  <c r="N93" i="2"/>
  <c r="N94" i="2"/>
  <c r="N95" i="2"/>
  <c r="N96" i="2"/>
  <c r="N97" i="2"/>
  <c r="N98" i="2"/>
  <c r="N99" i="2"/>
  <c r="N100" i="2"/>
  <c r="N101" i="2"/>
  <c r="N102" i="2"/>
  <c r="N103" i="2"/>
  <c r="N104" i="2"/>
  <c r="N105" i="2"/>
  <c r="N106" i="2"/>
  <c r="N107" i="2"/>
  <c r="N108" i="2"/>
  <c r="N109" i="2"/>
  <c r="N110" i="2"/>
  <c r="N111" i="2"/>
  <c r="N112" i="2"/>
  <c r="N113" i="2"/>
  <c r="N114" i="2"/>
  <c r="N115" i="2"/>
  <c r="N116" i="2"/>
  <c r="N117" i="2"/>
  <c r="N118" i="2"/>
  <c r="N119" i="2"/>
  <c r="N120" i="2"/>
  <c r="N121" i="2"/>
  <c r="N122" i="2"/>
  <c r="N123" i="2"/>
  <c r="N124" i="2"/>
  <c r="N125" i="2"/>
  <c r="N126" i="2"/>
  <c r="N127" i="2"/>
  <c r="N128" i="2"/>
  <c r="N129" i="2"/>
  <c r="N130" i="2"/>
  <c r="N131" i="2"/>
  <c r="N132" i="2"/>
  <c r="N133" i="2"/>
  <c r="N134" i="2"/>
  <c r="N135" i="2"/>
  <c r="N136" i="2"/>
  <c r="N137" i="2"/>
  <c r="N138" i="2"/>
  <c r="N139" i="2"/>
  <c r="N140" i="2"/>
  <c r="N141" i="2"/>
  <c r="N142" i="2"/>
  <c r="N143" i="2"/>
  <c r="N144" i="2"/>
  <c r="N145" i="2"/>
  <c r="N146" i="2"/>
  <c r="N147" i="2"/>
  <c r="N148" i="2"/>
  <c r="N149" i="2"/>
  <c r="N150" i="2"/>
  <c r="N151" i="2"/>
  <c r="N152" i="2"/>
  <c r="N153" i="2"/>
  <c r="N154" i="2"/>
  <c r="N155" i="2"/>
  <c r="N156" i="2"/>
  <c r="N157" i="2"/>
  <c r="N158" i="2"/>
  <c r="N159" i="2"/>
  <c r="N160" i="2"/>
  <c r="N161" i="2"/>
  <c r="N162" i="2"/>
  <c r="N163" i="2"/>
  <c r="N164" i="2"/>
  <c r="N165" i="2"/>
  <c r="N166" i="2"/>
  <c r="N167" i="2"/>
  <c r="N168" i="2"/>
  <c r="N169" i="2"/>
  <c r="N170" i="2"/>
  <c r="N171" i="2"/>
  <c r="N172" i="2"/>
  <c r="N173" i="2"/>
  <c r="N174" i="2"/>
  <c r="N175" i="2"/>
  <c r="N176" i="2"/>
  <c r="N177" i="2"/>
  <c r="N178" i="2"/>
  <c r="N179" i="2"/>
  <c r="N180" i="2"/>
  <c r="N181" i="2"/>
  <c r="N182" i="2"/>
  <c r="N183" i="2"/>
  <c r="N184" i="2"/>
  <c r="N185" i="2"/>
  <c r="N186" i="2"/>
  <c r="N187" i="2"/>
  <c r="N188" i="2"/>
  <c r="N189" i="2"/>
  <c r="N190" i="2"/>
  <c r="N191" i="2"/>
  <c r="N192" i="2"/>
  <c r="N193" i="2"/>
  <c r="N194" i="2"/>
  <c r="N195" i="2"/>
  <c r="N196" i="2"/>
  <c r="N197" i="2"/>
  <c r="N198" i="2"/>
  <c r="N199" i="2"/>
  <c r="N200" i="2"/>
  <c r="N201" i="2"/>
  <c r="N202" i="2"/>
  <c r="N203" i="2"/>
  <c r="N204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3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M201" i="2"/>
  <c r="M202" i="2"/>
  <c r="M203" i="2"/>
  <c r="M204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113" i="2"/>
  <c r="J114" i="2"/>
  <c r="J115" i="2"/>
  <c r="J116" i="2"/>
  <c r="J117" i="2"/>
  <c r="J118" i="2"/>
  <c r="J119" i="2"/>
  <c r="J120" i="2"/>
  <c r="J121" i="2"/>
  <c r="J122" i="2"/>
  <c r="J123" i="2"/>
  <c r="J124" i="2"/>
  <c r="J125" i="2"/>
  <c r="J126" i="2"/>
  <c r="J127" i="2"/>
  <c r="J128" i="2"/>
  <c r="J129" i="2"/>
  <c r="J130" i="2"/>
  <c r="J131" i="2"/>
  <c r="J132" i="2"/>
  <c r="J133" i="2"/>
  <c r="J134" i="2"/>
  <c r="J135" i="2"/>
  <c r="J136" i="2"/>
  <c r="J137" i="2"/>
  <c r="J138" i="2"/>
  <c r="J139" i="2"/>
  <c r="J140" i="2"/>
  <c r="J141" i="2"/>
  <c r="J142" i="2"/>
  <c r="J143" i="2"/>
  <c r="J144" i="2"/>
  <c r="J145" i="2"/>
  <c r="J146" i="2"/>
  <c r="J147" i="2"/>
  <c r="J148" i="2"/>
  <c r="J149" i="2"/>
  <c r="J150" i="2"/>
  <c r="J151" i="2"/>
  <c r="J152" i="2"/>
  <c r="J153" i="2"/>
  <c r="J154" i="2"/>
  <c r="J155" i="2"/>
  <c r="J156" i="2"/>
  <c r="J157" i="2"/>
  <c r="J158" i="2"/>
  <c r="J159" i="2"/>
  <c r="J160" i="2"/>
  <c r="J161" i="2"/>
  <c r="J162" i="2"/>
  <c r="J163" i="2"/>
  <c r="J164" i="2"/>
  <c r="J165" i="2"/>
  <c r="J166" i="2"/>
  <c r="J167" i="2"/>
  <c r="J168" i="2"/>
  <c r="J169" i="2"/>
  <c r="J170" i="2"/>
  <c r="J171" i="2"/>
  <c r="J172" i="2"/>
  <c r="J173" i="2"/>
  <c r="J174" i="2"/>
  <c r="J175" i="2"/>
  <c r="J176" i="2"/>
  <c r="J177" i="2"/>
  <c r="J178" i="2"/>
  <c r="J179" i="2"/>
  <c r="J180" i="2"/>
  <c r="J181" i="2"/>
  <c r="J182" i="2"/>
  <c r="J183" i="2"/>
  <c r="J184" i="2"/>
  <c r="J185" i="2"/>
  <c r="J186" i="2"/>
  <c r="J187" i="2"/>
  <c r="J188" i="2"/>
  <c r="J189" i="2"/>
  <c r="J190" i="2"/>
  <c r="J191" i="2"/>
  <c r="J192" i="2"/>
  <c r="J193" i="2"/>
  <c r="J194" i="2"/>
  <c r="J195" i="2"/>
  <c r="J196" i="2"/>
  <c r="J197" i="2"/>
  <c r="J198" i="2"/>
  <c r="J199" i="2"/>
  <c r="J200" i="2"/>
  <c r="J201" i="2"/>
  <c r="J202" i="2"/>
  <c r="J203" i="2"/>
  <c r="J20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H97" i="2"/>
  <c r="H98" i="2"/>
  <c r="H99" i="2"/>
  <c r="H100" i="2"/>
  <c r="H101" i="2"/>
  <c r="H102" i="2"/>
  <c r="H103" i="2"/>
  <c r="H104" i="2"/>
  <c r="H105" i="2"/>
  <c r="H106" i="2"/>
  <c r="H107" i="2"/>
  <c r="H108" i="2"/>
  <c r="H109" i="2"/>
  <c r="H110" i="2"/>
  <c r="H111" i="2"/>
  <c r="H112" i="2"/>
  <c r="H113" i="2"/>
  <c r="H114" i="2"/>
  <c r="H115" i="2"/>
  <c r="H116" i="2"/>
  <c r="H117" i="2"/>
  <c r="H118" i="2"/>
  <c r="H119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2" i="2"/>
  <c r="H143" i="2"/>
  <c r="H144" i="2"/>
  <c r="H145" i="2"/>
  <c r="H146" i="2"/>
  <c r="H147" i="2"/>
  <c r="H148" i="2"/>
  <c r="H149" i="2"/>
  <c r="H150" i="2"/>
  <c r="H151" i="2"/>
  <c r="H152" i="2"/>
  <c r="H153" i="2"/>
  <c r="H154" i="2"/>
  <c r="H155" i="2"/>
  <c r="H156" i="2"/>
  <c r="H157" i="2"/>
  <c r="H158" i="2"/>
  <c r="H159" i="2"/>
  <c r="H160" i="2"/>
  <c r="H161" i="2"/>
  <c r="H162" i="2"/>
  <c r="H163" i="2"/>
  <c r="H164" i="2"/>
  <c r="H165" i="2"/>
  <c r="H166" i="2"/>
  <c r="H167" i="2"/>
  <c r="H168" i="2"/>
  <c r="H169" i="2"/>
  <c r="H170" i="2"/>
  <c r="H171" i="2"/>
  <c r="H172" i="2"/>
  <c r="H173" i="2"/>
  <c r="H174" i="2"/>
  <c r="H175" i="2"/>
  <c r="H176" i="2"/>
  <c r="H177" i="2"/>
  <c r="H178" i="2"/>
  <c r="H179" i="2"/>
  <c r="H180" i="2"/>
  <c r="H181" i="2"/>
  <c r="H182" i="2"/>
  <c r="H183" i="2"/>
  <c r="H184" i="2"/>
  <c r="H185" i="2"/>
  <c r="H186" i="2"/>
  <c r="H187" i="2"/>
  <c r="H188" i="2"/>
  <c r="H189" i="2"/>
  <c r="H190" i="2"/>
  <c r="H191" i="2"/>
  <c r="H192" i="2"/>
  <c r="H193" i="2"/>
  <c r="H194" i="2"/>
  <c r="H195" i="2"/>
  <c r="H196" i="2"/>
  <c r="H197" i="2"/>
  <c r="H198" i="2"/>
  <c r="H199" i="2"/>
  <c r="H200" i="2"/>
  <c r="H201" i="2"/>
  <c r="H202" i="2"/>
  <c r="H203" i="2"/>
  <c r="H20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K3" i="2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N182" i="3"/>
  <c r="N183" i="3"/>
  <c r="N184" i="3"/>
  <c r="N185" i="3"/>
  <c r="N186" i="3"/>
  <c r="N187" i="3"/>
  <c r="N188" i="3"/>
  <c r="N189" i="3"/>
  <c r="N190" i="3"/>
  <c r="N191" i="3"/>
  <c r="N192" i="3"/>
  <c r="N193" i="3"/>
  <c r="N194" i="3"/>
  <c r="N195" i="3"/>
  <c r="N196" i="3"/>
  <c r="N197" i="3"/>
  <c r="N198" i="3"/>
  <c r="N199" i="3"/>
  <c r="N200" i="3"/>
  <c r="N201" i="3"/>
  <c r="N202" i="3"/>
  <c r="N203" i="3"/>
  <c r="N204" i="3"/>
  <c r="N205" i="3"/>
  <c r="N206" i="3"/>
  <c r="N207" i="3"/>
  <c r="N208" i="3"/>
  <c r="N209" i="3"/>
  <c r="N210" i="3"/>
  <c r="N211" i="3"/>
  <c r="N212" i="3"/>
  <c r="N213" i="3"/>
  <c r="N214" i="3"/>
  <c r="N215" i="3"/>
  <c r="N216" i="3"/>
  <c r="N217" i="3"/>
  <c r="N218" i="3"/>
  <c r="N219" i="3"/>
  <c r="N220" i="3"/>
  <c r="N221" i="3"/>
  <c r="N222" i="3"/>
  <c r="N223" i="3"/>
  <c r="N224" i="3"/>
  <c r="N225" i="3"/>
  <c r="N226" i="3"/>
  <c r="N227" i="3"/>
  <c r="N228" i="3"/>
  <c r="N229" i="3"/>
  <c r="N230" i="3"/>
  <c r="N231" i="3"/>
  <c r="N232" i="3"/>
  <c r="N233" i="3"/>
  <c r="N234" i="3"/>
  <c r="N235" i="3"/>
  <c r="N236" i="3"/>
  <c r="N237" i="3"/>
  <c r="N238" i="3"/>
  <c r="N239" i="3"/>
  <c r="N240" i="3"/>
  <c r="N241" i="3"/>
  <c r="N242" i="3"/>
  <c r="N243" i="3"/>
  <c r="N244" i="3"/>
  <c r="N245" i="3"/>
  <c r="N246" i="3"/>
  <c r="N247" i="3"/>
  <c r="N248" i="3"/>
  <c r="N249" i="3"/>
  <c r="N250" i="3"/>
  <c r="N251" i="3"/>
  <c r="N252" i="3"/>
  <c r="N253" i="3"/>
  <c r="N254" i="3"/>
  <c r="N255" i="3"/>
  <c r="N256" i="3"/>
  <c r="N257" i="3"/>
  <c r="N258" i="3"/>
  <c r="N259" i="3"/>
  <c r="N260" i="3"/>
  <c r="N261" i="3"/>
  <c r="N262" i="3"/>
  <c r="N263" i="3"/>
  <c r="N264" i="3"/>
  <c r="N265" i="3"/>
  <c r="N266" i="3"/>
  <c r="N267" i="3"/>
  <c r="N268" i="3"/>
  <c r="N269" i="3"/>
  <c r="N270" i="3"/>
  <c r="N271" i="3"/>
  <c r="N272" i="3"/>
  <c r="N273" i="3"/>
  <c r="N274" i="3"/>
  <c r="N275" i="3"/>
  <c r="N276" i="3"/>
  <c r="N277" i="3"/>
  <c r="N278" i="3"/>
  <c r="N279" i="3"/>
  <c r="N280" i="3"/>
  <c r="N281" i="3"/>
  <c r="N282" i="3"/>
  <c r="N283" i="3"/>
  <c r="N284" i="3"/>
  <c r="N285" i="3"/>
  <c r="N286" i="3"/>
  <c r="N287" i="3"/>
  <c r="N288" i="3"/>
  <c r="N289" i="3"/>
  <c r="N290" i="3"/>
  <c r="N291" i="3"/>
  <c r="N292" i="3"/>
  <c r="N293" i="3"/>
  <c r="N294" i="3"/>
  <c r="N295" i="3"/>
  <c r="N296" i="3"/>
  <c r="N297" i="3"/>
  <c r="N298" i="3"/>
  <c r="N299" i="3"/>
  <c r="N300" i="3"/>
  <c r="N301" i="3"/>
  <c r="N302" i="3"/>
  <c r="N303" i="3"/>
  <c r="N304" i="3"/>
  <c r="N305" i="3"/>
  <c r="N306" i="3"/>
  <c r="N307" i="3"/>
  <c r="N308" i="3"/>
  <c r="N309" i="3"/>
  <c r="N310" i="3"/>
  <c r="N311" i="3"/>
  <c r="N312" i="3"/>
  <c r="N313" i="3"/>
  <c r="N314" i="3"/>
  <c r="N315" i="3"/>
  <c r="N316" i="3"/>
  <c r="N317" i="3"/>
  <c r="N318" i="3"/>
  <c r="N319" i="3"/>
  <c r="N320" i="3"/>
  <c r="N321" i="3"/>
  <c r="N322" i="3"/>
  <c r="N323" i="3"/>
  <c r="N324" i="3"/>
  <c r="N325" i="3"/>
  <c r="N326" i="3"/>
  <c r="N327" i="3"/>
  <c r="N328" i="3"/>
  <c r="N329" i="3"/>
  <c r="N330" i="3"/>
  <c r="N331" i="3"/>
  <c r="N332" i="3"/>
  <c r="N333" i="3"/>
  <c r="N334" i="3"/>
  <c r="N335" i="3"/>
  <c r="N336" i="3"/>
  <c r="N337" i="3"/>
  <c r="N338" i="3"/>
  <c r="N339" i="3"/>
  <c r="N340" i="3"/>
  <c r="N341" i="3"/>
  <c r="N342" i="3"/>
  <c r="N343" i="3"/>
  <c r="N344" i="3"/>
  <c r="N345" i="3"/>
  <c r="N346" i="3"/>
  <c r="N347" i="3"/>
  <c r="N348" i="3"/>
  <c r="N349" i="3"/>
  <c r="N350" i="3"/>
  <c r="N351" i="3"/>
  <c r="N352" i="3"/>
  <c r="N353" i="3"/>
  <c r="N354" i="3"/>
  <c r="N355" i="3"/>
  <c r="N356" i="3"/>
  <c r="N357" i="3"/>
  <c r="N358" i="3"/>
  <c r="N359" i="3"/>
  <c r="N360" i="3"/>
  <c r="N361" i="3"/>
  <c r="N362" i="3"/>
  <c r="N363" i="3"/>
  <c r="N364" i="3"/>
  <c r="N365" i="3"/>
  <c r="N366" i="3"/>
  <c r="N367" i="3"/>
  <c r="N368" i="3"/>
  <c r="N369" i="3"/>
  <c r="N370" i="3"/>
  <c r="N371" i="3"/>
  <c r="N372" i="3"/>
  <c r="N373" i="3"/>
  <c r="N374" i="3"/>
  <c r="N375" i="3"/>
  <c r="N376" i="3"/>
  <c r="N377" i="3"/>
  <c r="N378" i="3"/>
  <c r="N379" i="3"/>
  <c r="N380" i="3"/>
  <c r="N381" i="3"/>
  <c r="N382" i="3"/>
  <c r="N383" i="3"/>
  <c r="N384" i="3"/>
  <c r="N385" i="3"/>
  <c r="N386" i="3"/>
  <c r="N387" i="3"/>
  <c r="N388" i="3"/>
  <c r="N389" i="3"/>
  <c r="N390" i="3"/>
  <c r="N391" i="3"/>
  <c r="N392" i="3"/>
  <c r="N393" i="3"/>
  <c r="N394" i="3"/>
  <c r="N395" i="3"/>
  <c r="N396" i="3"/>
  <c r="N397" i="3"/>
  <c r="N398" i="3"/>
  <c r="N399" i="3"/>
  <c r="N400" i="3"/>
  <c r="N401" i="3"/>
  <c r="N402" i="3"/>
  <c r="N403" i="3"/>
  <c r="N404" i="3"/>
  <c r="N405" i="3"/>
  <c r="N406" i="3"/>
  <c r="N407" i="3"/>
  <c r="N408" i="3"/>
  <c r="N409" i="3"/>
  <c r="N410" i="3"/>
  <c r="N411" i="3"/>
  <c r="N412" i="3"/>
  <c r="N413" i="3"/>
  <c r="N414" i="3"/>
  <c r="N415" i="3"/>
  <c r="N416" i="3"/>
  <c r="N417" i="3"/>
  <c r="N418" i="3"/>
  <c r="N419" i="3"/>
  <c r="N420" i="3"/>
  <c r="N421" i="3"/>
  <c r="N422" i="3"/>
  <c r="N423" i="3"/>
  <c r="N424" i="3"/>
  <c r="N425" i="3"/>
  <c r="N426" i="3"/>
  <c r="N427" i="3"/>
  <c r="N428" i="3"/>
  <c r="N429" i="3"/>
  <c r="N430" i="3"/>
  <c r="N431" i="3"/>
  <c r="N432" i="3"/>
  <c r="N433" i="3"/>
  <c r="N434" i="3"/>
  <c r="N435" i="3"/>
  <c r="N436" i="3"/>
  <c r="N437" i="3"/>
  <c r="N438" i="3"/>
  <c r="N439" i="3"/>
  <c r="N440" i="3"/>
  <c r="N441" i="3"/>
  <c r="N442" i="3"/>
  <c r="N443" i="3"/>
  <c r="N444" i="3"/>
  <c r="N445" i="3"/>
  <c r="N446" i="3"/>
  <c r="N447" i="3"/>
  <c r="N448" i="3"/>
  <c r="N449" i="3"/>
  <c r="N450" i="3"/>
  <c r="N451" i="3"/>
  <c r="N452" i="3"/>
  <c r="N453" i="3"/>
  <c r="N454" i="3"/>
  <c r="N455" i="3"/>
  <c r="N456" i="3"/>
  <c r="N457" i="3"/>
  <c r="N458" i="3"/>
  <c r="N459" i="3"/>
  <c r="N460" i="3"/>
  <c r="N461" i="3"/>
  <c r="N462" i="3"/>
  <c r="N463" i="3"/>
  <c r="N464" i="3"/>
  <c r="N465" i="3"/>
  <c r="N466" i="3"/>
  <c r="N467" i="3"/>
  <c r="N468" i="3"/>
  <c r="N469" i="3"/>
  <c r="N470" i="3"/>
  <c r="N471" i="3"/>
  <c r="N472" i="3"/>
  <c r="N473" i="3"/>
  <c r="N474" i="3"/>
  <c r="N475" i="3"/>
  <c r="N476" i="3"/>
  <c r="N477" i="3"/>
  <c r="N478" i="3"/>
  <c r="N479" i="3"/>
  <c r="N480" i="3"/>
  <c r="N481" i="3"/>
  <c r="N482" i="3"/>
  <c r="N483" i="3"/>
  <c r="N484" i="3"/>
  <c r="N485" i="3"/>
  <c r="N486" i="3"/>
  <c r="N487" i="3"/>
  <c r="N488" i="3"/>
  <c r="N489" i="3"/>
  <c r="N490" i="3"/>
  <c r="N491" i="3"/>
  <c r="N492" i="3"/>
  <c r="N493" i="3"/>
  <c r="N494" i="3"/>
  <c r="N495" i="3"/>
  <c r="N496" i="3"/>
  <c r="N497" i="3"/>
  <c r="N498" i="3"/>
  <c r="N499" i="3"/>
  <c r="N500" i="3"/>
  <c r="N501" i="3"/>
  <c r="N502" i="3"/>
  <c r="N503" i="3"/>
  <c r="N504" i="3"/>
  <c r="N505" i="3"/>
  <c r="N506" i="3"/>
  <c r="N507" i="3"/>
  <c r="N508" i="3"/>
  <c r="N509" i="3"/>
  <c r="N510" i="3"/>
  <c r="N511" i="3"/>
  <c r="N512" i="3"/>
  <c r="N513" i="3"/>
  <c r="N514" i="3"/>
  <c r="N515" i="3"/>
  <c r="N516" i="3"/>
  <c r="N517" i="3"/>
  <c r="N518" i="3"/>
  <c r="N519" i="3"/>
  <c r="N520" i="3"/>
  <c r="N521" i="3"/>
  <c r="N522" i="3"/>
  <c r="N523" i="3"/>
  <c r="N524" i="3"/>
  <c r="N525" i="3"/>
  <c r="N526" i="3"/>
  <c r="N527" i="3"/>
  <c r="N528" i="3"/>
  <c r="N529" i="3"/>
  <c r="N530" i="3"/>
  <c r="N531" i="3"/>
  <c r="N532" i="3"/>
  <c r="N533" i="3"/>
  <c r="N534" i="3"/>
  <c r="N535" i="3"/>
  <c r="N536" i="3"/>
  <c r="N537" i="3"/>
  <c r="N538" i="3"/>
  <c r="N539" i="3"/>
  <c r="N540" i="3"/>
  <c r="N541" i="3"/>
  <c r="N542" i="3"/>
  <c r="N543" i="3"/>
  <c r="N544" i="3"/>
  <c r="N545" i="3"/>
  <c r="N546" i="3"/>
  <c r="N547" i="3"/>
  <c r="N548" i="3"/>
  <c r="N549" i="3"/>
  <c r="N550" i="3"/>
  <c r="N551" i="3"/>
  <c r="N552" i="3"/>
  <c r="N553" i="3"/>
  <c r="N554" i="3"/>
  <c r="N555" i="3"/>
  <c r="N556" i="3"/>
  <c r="N557" i="3"/>
  <c r="N558" i="3"/>
  <c r="N559" i="3"/>
  <c r="N560" i="3"/>
  <c r="N561" i="3"/>
  <c r="N562" i="3"/>
  <c r="N563" i="3"/>
  <c r="N564" i="3"/>
  <c r="N565" i="3"/>
  <c r="N566" i="3"/>
  <c r="N567" i="3"/>
  <c r="N568" i="3"/>
  <c r="N569" i="3"/>
  <c r="N570" i="3"/>
  <c r="N571" i="3"/>
  <c r="N572" i="3"/>
  <c r="N573" i="3"/>
  <c r="N574" i="3"/>
  <c r="N575" i="3"/>
  <c r="N576" i="3"/>
  <c r="N577" i="3"/>
  <c r="N578" i="3"/>
  <c r="N579" i="3"/>
  <c r="N580" i="3"/>
  <c r="N581" i="3"/>
  <c r="N582" i="3"/>
  <c r="N583" i="3"/>
  <c r="N584" i="3"/>
  <c r="N585" i="3"/>
  <c r="N586" i="3"/>
  <c r="N587" i="3"/>
  <c r="N588" i="3"/>
  <c r="N589" i="3"/>
  <c r="N590" i="3"/>
  <c r="N591" i="3"/>
  <c r="N592" i="3"/>
  <c r="N593" i="3"/>
  <c r="N594" i="3"/>
  <c r="N595" i="3"/>
  <c r="N596" i="3"/>
  <c r="N597" i="3"/>
  <c r="N598" i="3"/>
  <c r="N599" i="3"/>
  <c r="N600" i="3"/>
  <c r="N601" i="3"/>
  <c r="N602" i="3"/>
  <c r="N603" i="3"/>
  <c r="N604" i="3"/>
  <c r="N605" i="3"/>
  <c r="N606" i="3"/>
  <c r="N607" i="3"/>
  <c r="N608" i="3"/>
  <c r="N609" i="3"/>
  <c r="N610" i="3"/>
  <c r="N611" i="3"/>
  <c r="N612" i="3"/>
  <c r="N613" i="3"/>
  <c r="N614" i="3"/>
  <c r="N615" i="3"/>
  <c r="N616" i="3"/>
  <c r="N617" i="3"/>
  <c r="N618" i="3"/>
  <c r="N619" i="3"/>
  <c r="N620" i="3"/>
  <c r="N621" i="3"/>
  <c r="N622" i="3"/>
  <c r="N623" i="3"/>
  <c r="N624" i="3"/>
  <c r="N625" i="3"/>
  <c r="N626" i="3"/>
  <c r="N627" i="3"/>
  <c r="N628" i="3"/>
  <c r="N629" i="3"/>
  <c r="N630" i="3"/>
  <c r="N631" i="3"/>
  <c r="N632" i="3"/>
  <c r="N633" i="3"/>
  <c r="N634" i="3"/>
  <c r="N635" i="3"/>
  <c r="N636" i="3"/>
  <c r="N637" i="3"/>
  <c r="N638" i="3"/>
  <c r="N639" i="3"/>
  <c r="N640" i="3"/>
  <c r="N641" i="3"/>
  <c r="N642" i="3"/>
  <c r="N643" i="3"/>
  <c r="N644" i="3"/>
  <c r="N645" i="3"/>
  <c r="N646" i="3"/>
  <c r="N647" i="3"/>
  <c r="N648" i="3"/>
  <c r="N649" i="3"/>
  <c r="N650" i="3"/>
  <c r="N651" i="3"/>
  <c r="N652" i="3"/>
  <c r="N653" i="3"/>
  <c r="N654" i="3"/>
  <c r="N655" i="3"/>
  <c r="N656" i="3"/>
  <c r="N657" i="3"/>
  <c r="N658" i="3"/>
  <c r="N659" i="3"/>
  <c r="N660" i="3"/>
  <c r="N661" i="3"/>
  <c r="N662" i="3"/>
  <c r="N663" i="3"/>
  <c r="N664" i="3"/>
  <c r="N665" i="3"/>
  <c r="N666" i="3"/>
  <c r="N667" i="3"/>
  <c r="N668" i="3"/>
  <c r="N669" i="3"/>
  <c r="N670" i="3"/>
  <c r="N671" i="3"/>
  <c r="N672" i="3"/>
  <c r="N673" i="3"/>
  <c r="N674" i="3"/>
  <c r="N675" i="3"/>
  <c r="N676" i="3"/>
  <c r="N677" i="3"/>
  <c r="N678" i="3"/>
  <c r="N679" i="3"/>
  <c r="N680" i="3"/>
  <c r="N681" i="3"/>
  <c r="N682" i="3"/>
  <c r="N683" i="3"/>
  <c r="N684" i="3"/>
  <c r="N685" i="3"/>
  <c r="N686" i="3"/>
  <c r="N687" i="3"/>
  <c r="N688" i="3"/>
  <c r="N689" i="3"/>
  <c r="N690" i="3"/>
  <c r="N691" i="3"/>
  <c r="N692" i="3"/>
  <c r="N693" i="3"/>
  <c r="N694" i="3"/>
  <c r="N695" i="3"/>
  <c r="N696" i="3"/>
  <c r="N697" i="3"/>
  <c r="N698" i="3"/>
  <c r="N699" i="3"/>
  <c r="N700" i="3"/>
  <c r="N701" i="3"/>
  <c r="N702" i="3"/>
  <c r="N703" i="3"/>
  <c r="N704" i="3"/>
  <c r="N705" i="3"/>
  <c r="N706" i="3"/>
  <c r="N707" i="3"/>
  <c r="N708" i="3"/>
  <c r="N709" i="3"/>
  <c r="N710" i="3"/>
  <c r="N711" i="3"/>
  <c r="N712" i="3"/>
  <c r="N713" i="3"/>
  <c r="N714" i="3"/>
  <c r="N715" i="3"/>
  <c r="N716" i="3"/>
  <c r="N717" i="3"/>
  <c r="N718" i="3"/>
  <c r="N719" i="3"/>
  <c r="N720" i="3"/>
  <c r="N721" i="3"/>
  <c r="N722" i="3"/>
  <c r="N723" i="3"/>
  <c r="N724" i="3"/>
  <c r="N725" i="3"/>
  <c r="N726" i="3"/>
  <c r="N727" i="3"/>
  <c r="N728" i="3"/>
  <c r="N729" i="3"/>
  <c r="N730" i="3"/>
  <c r="N731" i="3"/>
  <c r="N732" i="3"/>
  <c r="N733" i="3"/>
  <c r="N734" i="3"/>
  <c r="N735" i="3"/>
  <c r="N736" i="3"/>
  <c r="N737" i="3"/>
  <c r="N738" i="3"/>
  <c r="N739" i="3"/>
  <c r="N740" i="3"/>
  <c r="N741" i="3"/>
  <c r="N742" i="3"/>
  <c r="N743" i="3"/>
  <c r="N744" i="3"/>
  <c r="N745" i="3"/>
  <c r="N746" i="3"/>
  <c r="N747" i="3"/>
  <c r="N748" i="3"/>
  <c r="N749" i="3"/>
  <c r="N750" i="3"/>
  <c r="N751" i="3"/>
  <c r="N752" i="3"/>
  <c r="N753" i="3"/>
  <c r="N754" i="3"/>
  <c r="N755" i="3"/>
  <c r="N756" i="3"/>
  <c r="N757" i="3"/>
  <c r="N758" i="3"/>
  <c r="N759" i="3"/>
  <c r="N760" i="3"/>
  <c r="N761" i="3"/>
  <c r="N762" i="3"/>
  <c r="N763" i="3"/>
  <c r="N764" i="3"/>
  <c r="N765" i="3"/>
  <c r="N766" i="3"/>
  <c r="N767" i="3"/>
  <c r="N768" i="3"/>
  <c r="N769" i="3"/>
  <c r="N770" i="3"/>
  <c r="N771" i="3"/>
  <c r="N772" i="3"/>
  <c r="N773" i="3"/>
  <c r="N774" i="3"/>
  <c r="N775" i="3"/>
  <c r="N776" i="3"/>
  <c r="N777" i="3"/>
  <c r="N778" i="3"/>
  <c r="N779" i="3"/>
  <c r="N780" i="3"/>
  <c r="N781" i="3"/>
  <c r="N782" i="3"/>
  <c r="N783" i="3"/>
  <c r="N784" i="3"/>
  <c r="N785" i="3"/>
  <c r="N786" i="3"/>
  <c r="N787" i="3"/>
  <c r="N788" i="3"/>
  <c r="N789" i="3"/>
  <c r="N790" i="3"/>
  <c r="N791" i="3"/>
  <c r="N792" i="3"/>
  <c r="N793" i="3"/>
  <c r="N794" i="3"/>
  <c r="N795" i="3"/>
  <c r="N796" i="3"/>
  <c r="N797" i="3"/>
  <c r="N798" i="3"/>
  <c r="N799" i="3"/>
  <c r="N800" i="3"/>
  <c r="N801" i="3"/>
  <c r="N802" i="3"/>
  <c r="N803" i="3"/>
  <c r="N804" i="3"/>
  <c r="N805" i="3"/>
  <c r="N806" i="3"/>
  <c r="N807" i="3"/>
  <c r="N808" i="3"/>
  <c r="N809" i="3"/>
  <c r="N810" i="3"/>
  <c r="N811" i="3"/>
  <c r="N812" i="3"/>
  <c r="N813" i="3"/>
  <c r="N814" i="3"/>
  <c r="N815" i="3"/>
  <c r="N816" i="3"/>
  <c r="N817" i="3"/>
  <c r="N818" i="3"/>
  <c r="N819" i="3"/>
  <c r="N820" i="3"/>
  <c r="N821" i="3"/>
  <c r="N822" i="3"/>
  <c r="N823" i="3"/>
  <c r="N824" i="3"/>
  <c r="N825" i="3"/>
  <c r="N826" i="3"/>
  <c r="N827" i="3"/>
  <c r="N828" i="3"/>
  <c r="N829" i="3"/>
  <c r="N830" i="3"/>
  <c r="N831" i="3"/>
  <c r="N832" i="3"/>
  <c r="N833" i="3"/>
  <c r="N834" i="3"/>
  <c r="N835" i="3"/>
  <c r="N836" i="3"/>
  <c r="N837" i="3"/>
  <c r="N838" i="3"/>
  <c r="N839" i="3"/>
  <c r="N840" i="3"/>
  <c r="N841" i="3"/>
  <c r="N842" i="3"/>
  <c r="N843" i="3"/>
  <c r="N844" i="3"/>
  <c r="N845" i="3"/>
  <c r="N846" i="3"/>
  <c r="N847" i="3"/>
  <c r="N848" i="3"/>
  <c r="N849" i="3"/>
  <c r="N850" i="3"/>
  <c r="N851" i="3"/>
  <c r="N852" i="3"/>
  <c r="N853" i="3"/>
  <c r="N854" i="3"/>
  <c r="N855" i="3"/>
  <c r="N856" i="3"/>
  <c r="N857" i="3"/>
  <c r="N858" i="3"/>
  <c r="N859" i="3"/>
  <c r="N860" i="3"/>
  <c r="N861" i="3"/>
  <c r="N862" i="3"/>
  <c r="N863" i="3"/>
  <c r="N864" i="3"/>
  <c r="N865" i="3"/>
  <c r="N866" i="3"/>
  <c r="N867" i="3"/>
  <c r="N868" i="3"/>
  <c r="N869" i="3"/>
  <c r="N870" i="3"/>
  <c r="N871" i="3"/>
  <c r="N872" i="3"/>
  <c r="N873" i="3"/>
  <c r="N874" i="3"/>
  <c r="N875" i="3"/>
  <c r="N876" i="3"/>
  <c r="N877" i="3"/>
  <c r="N878" i="3"/>
  <c r="N879" i="3"/>
  <c r="N880" i="3"/>
  <c r="N881" i="3"/>
  <c r="N882" i="3"/>
  <c r="N883" i="3"/>
  <c r="N884" i="3"/>
  <c r="N885" i="3"/>
  <c r="N886" i="3"/>
  <c r="N887" i="3"/>
  <c r="N888" i="3"/>
  <c r="N889" i="3"/>
  <c r="N890" i="3"/>
  <c r="N891" i="3"/>
  <c r="N892" i="3"/>
  <c r="N893" i="3"/>
  <c r="N894" i="3"/>
  <c r="N895" i="3"/>
  <c r="N896" i="3"/>
  <c r="N897" i="3"/>
  <c r="N898" i="3"/>
  <c r="N899" i="3"/>
  <c r="N900" i="3"/>
  <c r="N901" i="3"/>
  <c r="N902" i="3"/>
  <c r="N903" i="3"/>
  <c r="N904" i="3"/>
  <c r="N905" i="3"/>
  <c r="N906" i="3"/>
  <c r="N907" i="3"/>
  <c r="N908" i="3"/>
  <c r="N909" i="3"/>
  <c r="N910" i="3"/>
  <c r="N911" i="3"/>
  <c r="N912" i="3"/>
  <c r="N913" i="3"/>
  <c r="N914" i="3"/>
  <c r="N915" i="3"/>
  <c r="N916" i="3"/>
  <c r="N917" i="3"/>
  <c r="N918" i="3"/>
  <c r="N919" i="3"/>
  <c r="N920" i="3"/>
  <c r="N921" i="3"/>
  <c r="N922" i="3"/>
  <c r="N923" i="3"/>
  <c r="N924" i="3"/>
  <c r="N925" i="3"/>
  <c r="N926" i="3"/>
  <c r="N927" i="3"/>
  <c r="N928" i="3"/>
  <c r="N929" i="3"/>
  <c r="N930" i="3"/>
  <c r="N931" i="3"/>
  <c r="N932" i="3"/>
  <c r="N933" i="3"/>
  <c r="N934" i="3"/>
  <c r="N935" i="3"/>
  <c r="N936" i="3"/>
  <c r="N937" i="3"/>
  <c r="N938" i="3"/>
  <c r="N939" i="3"/>
  <c r="N940" i="3"/>
  <c r="N941" i="3"/>
  <c r="N942" i="3"/>
  <c r="N943" i="3"/>
  <c r="N944" i="3"/>
  <c r="N945" i="3"/>
  <c r="N946" i="3"/>
  <c r="N947" i="3"/>
  <c r="N948" i="3"/>
  <c r="N949" i="3"/>
  <c r="N950" i="3"/>
  <c r="N951" i="3"/>
  <c r="N952" i="3"/>
  <c r="N953" i="3"/>
  <c r="N954" i="3"/>
  <c r="N955" i="3"/>
  <c r="N956" i="3"/>
  <c r="N957" i="3"/>
  <c r="N958" i="3"/>
  <c r="N959" i="3"/>
  <c r="N960" i="3"/>
  <c r="N961" i="3"/>
  <c r="N962" i="3"/>
  <c r="N963" i="3"/>
  <c r="N964" i="3"/>
  <c r="N965" i="3"/>
  <c r="N966" i="3"/>
  <c r="N967" i="3"/>
  <c r="N968" i="3"/>
  <c r="N969" i="3"/>
  <c r="N970" i="3"/>
  <c r="N971" i="3"/>
  <c r="N972" i="3"/>
  <c r="N973" i="3"/>
  <c r="N974" i="3"/>
  <c r="N975" i="3"/>
  <c r="N976" i="3"/>
  <c r="N977" i="3"/>
  <c r="N978" i="3"/>
  <c r="N979" i="3"/>
  <c r="N980" i="3"/>
  <c r="N981" i="3"/>
  <c r="N982" i="3"/>
  <c r="N983" i="3"/>
  <c r="N984" i="3"/>
  <c r="N985" i="3"/>
  <c r="N986" i="3"/>
  <c r="N987" i="3"/>
  <c r="N988" i="3"/>
  <c r="N989" i="3"/>
  <c r="N990" i="3"/>
  <c r="N991" i="3"/>
  <c r="N992" i="3"/>
  <c r="N993" i="3"/>
  <c r="N994" i="3"/>
  <c r="N995" i="3"/>
  <c r="N996" i="3"/>
  <c r="N997" i="3"/>
  <c r="N998" i="3"/>
  <c r="N999" i="3"/>
  <c r="N1000" i="3"/>
  <c r="N1001" i="3"/>
  <c r="N1002" i="3"/>
  <c r="N1003" i="3"/>
  <c r="N1004" i="3"/>
  <c r="N1005" i="3"/>
  <c r="N1006" i="3"/>
  <c r="N1007" i="3"/>
  <c r="N1008" i="3"/>
  <c r="N1009" i="3"/>
  <c r="N1010" i="3"/>
  <c r="N1011" i="3"/>
  <c r="N1012" i="3"/>
  <c r="N1013" i="3"/>
  <c r="N1014" i="3"/>
  <c r="N1015" i="3"/>
  <c r="N1016" i="3"/>
  <c r="N1017" i="3"/>
  <c r="N1018" i="3"/>
  <c r="N1019" i="3"/>
  <c r="N1020" i="3"/>
  <c r="N1021" i="3"/>
  <c r="N1022" i="3"/>
  <c r="N1023" i="3"/>
  <c r="N1024" i="3"/>
  <c r="N1025" i="3"/>
  <c r="N1026" i="3"/>
  <c r="N1027" i="3"/>
  <c r="N1028" i="3"/>
  <c r="N1029" i="3"/>
  <c r="N1030" i="3"/>
  <c r="N1031" i="3"/>
  <c r="N1032" i="3"/>
  <c r="N1033" i="3"/>
  <c r="N1034" i="3"/>
  <c r="N1035" i="3"/>
  <c r="N1036" i="3"/>
  <c r="N1037" i="3"/>
  <c r="N1038" i="3"/>
  <c r="N1039" i="3"/>
  <c r="N1040" i="3"/>
  <c r="N1041" i="3"/>
  <c r="N1042" i="3"/>
  <c r="N1043" i="3"/>
  <c r="N1044" i="3"/>
  <c r="N1045" i="3"/>
  <c r="N1046" i="3"/>
  <c r="N1047" i="3"/>
  <c r="N1048" i="3"/>
  <c r="N1049" i="3"/>
  <c r="N1050" i="3"/>
  <c r="N1051" i="3"/>
  <c r="N1052" i="3"/>
  <c r="N1053" i="3"/>
  <c r="N1054" i="3"/>
  <c r="N1055" i="3"/>
  <c r="N1056" i="3"/>
  <c r="N1057" i="3"/>
  <c r="N1058" i="3"/>
  <c r="N1059" i="3"/>
  <c r="N1060" i="3"/>
  <c r="N1061" i="3"/>
  <c r="N1062" i="3"/>
  <c r="N1063" i="3"/>
  <c r="N1064" i="3"/>
  <c r="N1065" i="3"/>
  <c r="N1066" i="3"/>
  <c r="N1067" i="3"/>
  <c r="N1068" i="3"/>
  <c r="N1069" i="3"/>
  <c r="N1070" i="3"/>
  <c r="N1071" i="3"/>
  <c r="N1072" i="3"/>
  <c r="N1073" i="3"/>
  <c r="N1074" i="3"/>
  <c r="N1075" i="3"/>
  <c r="N1076" i="3"/>
  <c r="N1077" i="3"/>
  <c r="N1078" i="3"/>
  <c r="N1079" i="3"/>
  <c r="N1080" i="3"/>
  <c r="N1081" i="3"/>
  <c r="N1082" i="3"/>
  <c r="N1083" i="3"/>
  <c r="N1084" i="3"/>
  <c r="N1085" i="3"/>
  <c r="N1086" i="3"/>
  <c r="N1087" i="3"/>
  <c r="N1088" i="3"/>
  <c r="N1089" i="3"/>
  <c r="N1090" i="3"/>
  <c r="N1091" i="3"/>
  <c r="N1092" i="3"/>
  <c r="N1093" i="3"/>
  <c r="N1094" i="3"/>
  <c r="N1095" i="3"/>
  <c r="N1096" i="3"/>
  <c r="N1097" i="3"/>
  <c r="N1098" i="3"/>
  <c r="N1099" i="3"/>
  <c r="N1100" i="3"/>
  <c r="N1101" i="3"/>
  <c r="N1102" i="3"/>
  <c r="N1103" i="3"/>
  <c r="N1104" i="3"/>
  <c r="N1105" i="3"/>
  <c r="N1106" i="3"/>
  <c r="N1107" i="3"/>
  <c r="N1108" i="3"/>
  <c r="N1109" i="3"/>
  <c r="N1110" i="3"/>
  <c r="N1111" i="3"/>
  <c r="N1112" i="3"/>
  <c r="N1113" i="3"/>
  <c r="N1114" i="3"/>
  <c r="N1115" i="3"/>
  <c r="N1116" i="3"/>
  <c r="N1117" i="3"/>
  <c r="N1118" i="3"/>
  <c r="N1119" i="3"/>
  <c r="N1120" i="3"/>
  <c r="N1121" i="3"/>
  <c r="N1122" i="3"/>
  <c r="N1123" i="3"/>
  <c r="N1124" i="3"/>
  <c r="N1125" i="3"/>
  <c r="N1126" i="3"/>
  <c r="N1127" i="3"/>
  <c r="N1128" i="3"/>
  <c r="N1129" i="3"/>
  <c r="N1130" i="3"/>
  <c r="N1131" i="3"/>
  <c r="N1132" i="3"/>
  <c r="N1133" i="3"/>
  <c r="N1134" i="3"/>
  <c r="N1135" i="3"/>
  <c r="N1136" i="3"/>
  <c r="N1137" i="3"/>
  <c r="N1138" i="3"/>
  <c r="N1139" i="3"/>
  <c r="N1140" i="3"/>
  <c r="N1141" i="3"/>
  <c r="N1142" i="3"/>
  <c r="N1143" i="3"/>
  <c r="N1144" i="3"/>
  <c r="N1145" i="3"/>
  <c r="N1146" i="3"/>
  <c r="N1147" i="3"/>
  <c r="N1148" i="3"/>
  <c r="N1149" i="3"/>
  <c r="N1150" i="3"/>
  <c r="N1151" i="3"/>
  <c r="N1152" i="3"/>
  <c r="N1153" i="3"/>
  <c r="N1154" i="3"/>
  <c r="N1155" i="3"/>
  <c r="N1156" i="3"/>
  <c r="N1157" i="3"/>
  <c r="N1158" i="3"/>
  <c r="N1159" i="3"/>
  <c r="N1160" i="3"/>
  <c r="N1161" i="3"/>
  <c r="N1162" i="3"/>
  <c r="N1163" i="3"/>
  <c r="N1164" i="3"/>
  <c r="N1165" i="3"/>
  <c r="N1166" i="3"/>
  <c r="N1167" i="3"/>
  <c r="N1168" i="3"/>
  <c r="N1169" i="3"/>
  <c r="N1170" i="3"/>
  <c r="N1171" i="3"/>
  <c r="N1172" i="3"/>
  <c r="N1173" i="3"/>
  <c r="N1174" i="3"/>
  <c r="N1175" i="3"/>
  <c r="N1176" i="3"/>
  <c r="N1177" i="3"/>
  <c r="N1178" i="3"/>
  <c r="N1179" i="3"/>
  <c r="N1180" i="3"/>
  <c r="N1181" i="3"/>
  <c r="N1182" i="3"/>
  <c r="N1183" i="3"/>
  <c r="N1184" i="3"/>
  <c r="N1185" i="3"/>
  <c r="N1186" i="3"/>
  <c r="N1187" i="3"/>
  <c r="N1188" i="3"/>
  <c r="N1189" i="3"/>
  <c r="N1190" i="3"/>
  <c r="N1191" i="3"/>
  <c r="N1192" i="3"/>
  <c r="N1193" i="3"/>
  <c r="N1194" i="3"/>
  <c r="N1195" i="3"/>
  <c r="N1196" i="3"/>
  <c r="N1197" i="3"/>
  <c r="N1198" i="3"/>
  <c r="N1199" i="3"/>
  <c r="N1200" i="3"/>
  <c r="N1201" i="3"/>
  <c r="N1202" i="3"/>
  <c r="N1203" i="3"/>
  <c r="N1204" i="3"/>
  <c r="N1205" i="3"/>
  <c r="N1206" i="3"/>
  <c r="N1207" i="3"/>
  <c r="N1208" i="3"/>
  <c r="N1209" i="3"/>
  <c r="N1210" i="3"/>
  <c r="N1211" i="3"/>
  <c r="N1212" i="3"/>
  <c r="N1213" i="3"/>
  <c r="N1214" i="3"/>
  <c r="N1215" i="3"/>
  <c r="N1216" i="3"/>
  <c r="N1217" i="3"/>
  <c r="N1218" i="3"/>
  <c r="N1219" i="3"/>
  <c r="N1220" i="3"/>
  <c r="N1221" i="3"/>
  <c r="N1222" i="3"/>
  <c r="N1223" i="3"/>
  <c r="N1224" i="3"/>
  <c r="N1225" i="3"/>
  <c r="N1226" i="3"/>
  <c r="N1227" i="3"/>
  <c r="N1228" i="3"/>
  <c r="N1229" i="3"/>
  <c r="N1230" i="3"/>
  <c r="N1231" i="3"/>
  <c r="N1232" i="3"/>
  <c r="N1233" i="3"/>
  <c r="N1234" i="3"/>
  <c r="N1235" i="3"/>
  <c r="N1236" i="3"/>
  <c r="N1237" i="3"/>
  <c r="N1238" i="3"/>
  <c r="N1239" i="3"/>
  <c r="N1240" i="3"/>
  <c r="N1241" i="3"/>
  <c r="N1242" i="3"/>
  <c r="N1243" i="3"/>
  <c r="N1244" i="3"/>
  <c r="N1245" i="3"/>
  <c r="N1246" i="3"/>
  <c r="N1247" i="3"/>
  <c r="N1248" i="3"/>
  <c r="N1249" i="3"/>
  <c r="N1250" i="3"/>
  <c r="N1251" i="3"/>
  <c r="N1252" i="3"/>
  <c r="N1253" i="3"/>
  <c r="N1254" i="3"/>
  <c r="N1255" i="3"/>
  <c r="N1256" i="3"/>
  <c r="N1257" i="3"/>
  <c r="N1258" i="3"/>
  <c r="N1259" i="3"/>
  <c r="N1260" i="3"/>
  <c r="N1261" i="3"/>
  <c r="N1262" i="3"/>
  <c r="N1263" i="3"/>
  <c r="N1264" i="3"/>
  <c r="N1265" i="3"/>
  <c r="N1266" i="3"/>
  <c r="N1267" i="3"/>
  <c r="N1268" i="3"/>
  <c r="N1269" i="3"/>
  <c r="N1270" i="3"/>
  <c r="N1271" i="3"/>
  <c r="N1272" i="3"/>
  <c r="N1273" i="3"/>
  <c r="N1274" i="3"/>
  <c r="N1275" i="3"/>
  <c r="N1276" i="3"/>
  <c r="N1277" i="3"/>
  <c r="N1278" i="3"/>
  <c r="N1279" i="3"/>
  <c r="N1280" i="3"/>
  <c r="N1281" i="3"/>
  <c r="N1282" i="3"/>
  <c r="N1283" i="3"/>
  <c r="N1284" i="3"/>
  <c r="N1285" i="3"/>
  <c r="N1286" i="3"/>
  <c r="N1287" i="3"/>
  <c r="N1288" i="3"/>
  <c r="N1289" i="3"/>
  <c r="N1290" i="3"/>
  <c r="N1291" i="3"/>
  <c r="N1292" i="3"/>
  <c r="N1293" i="3"/>
  <c r="N1294" i="3"/>
  <c r="N1295" i="3"/>
  <c r="N1296" i="3"/>
  <c r="N1297" i="3"/>
  <c r="N1298" i="3"/>
  <c r="N1299" i="3"/>
  <c r="N1300" i="3"/>
  <c r="N1301" i="3"/>
  <c r="N1302" i="3"/>
  <c r="N1303" i="3"/>
  <c r="N1304" i="3"/>
  <c r="N1305" i="3"/>
  <c r="N1306" i="3"/>
  <c r="N1307" i="3"/>
  <c r="N1308" i="3"/>
  <c r="N1309" i="3"/>
  <c r="N1310" i="3"/>
  <c r="N1311" i="3"/>
  <c r="N1312" i="3"/>
  <c r="N1313" i="3"/>
  <c r="N1314" i="3"/>
  <c r="N1315" i="3"/>
  <c r="N1316" i="3"/>
  <c r="N1317" i="3"/>
  <c r="N1318" i="3"/>
  <c r="N1319" i="3"/>
  <c r="N1320" i="3"/>
  <c r="N1321" i="3"/>
  <c r="N1322" i="3"/>
  <c r="N1323" i="3"/>
  <c r="N1324" i="3"/>
  <c r="N1325" i="3"/>
  <c r="N1326" i="3"/>
  <c r="N1327" i="3"/>
  <c r="N1328" i="3"/>
  <c r="N1329" i="3"/>
  <c r="N1330" i="3"/>
  <c r="N1331" i="3"/>
  <c r="N1332" i="3"/>
  <c r="N1333" i="3"/>
  <c r="N1334" i="3"/>
  <c r="N1335" i="3"/>
  <c r="N1336" i="3"/>
  <c r="N1337" i="3"/>
  <c r="N1338" i="3"/>
  <c r="N1339" i="3"/>
  <c r="N1340" i="3"/>
  <c r="N1341" i="3"/>
  <c r="N1342" i="3"/>
  <c r="N1343" i="3"/>
  <c r="N1344" i="3"/>
  <c r="N1345" i="3"/>
  <c r="N1346" i="3"/>
  <c r="N1347" i="3"/>
  <c r="N1348" i="3"/>
  <c r="N1349" i="3"/>
  <c r="N1350" i="3"/>
  <c r="N1351" i="3"/>
  <c r="N1352" i="3"/>
  <c r="N1353" i="3"/>
  <c r="N1354" i="3"/>
  <c r="N1355" i="3"/>
  <c r="N1356" i="3"/>
  <c r="N1357" i="3"/>
  <c r="N1358" i="3"/>
  <c r="N1359" i="3"/>
  <c r="N1360" i="3"/>
  <c r="N1361" i="3"/>
  <c r="N1362" i="3"/>
  <c r="N1363" i="3"/>
  <c r="N1364" i="3"/>
  <c r="N1365" i="3"/>
  <c r="N1366" i="3"/>
  <c r="N1367" i="3"/>
  <c r="N1368" i="3"/>
  <c r="N1369" i="3"/>
  <c r="N1370" i="3"/>
  <c r="N1371" i="3"/>
  <c r="N1372" i="3"/>
  <c r="N1373" i="3"/>
  <c r="N1374" i="3"/>
  <c r="N1375" i="3"/>
  <c r="N1376" i="3"/>
  <c r="N1377" i="3"/>
  <c r="N1378" i="3"/>
  <c r="N1379" i="3"/>
  <c r="N1380" i="3"/>
  <c r="N1381" i="3"/>
  <c r="N1382" i="3"/>
  <c r="N1383" i="3"/>
  <c r="N1384" i="3"/>
  <c r="N1385" i="3"/>
  <c r="N1386" i="3"/>
  <c r="N1387" i="3"/>
  <c r="N1388" i="3"/>
  <c r="N1389" i="3"/>
  <c r="N1390" i="3"/>
  <c r="N1391" i="3"/>
  <c r="N1392" i="3"/>
  <c r="N1393" i="3"/>
  <c r="N1394" i="3"/>
  <c r="N1395" i="3"/>
  <c r="N1396" i="3"/>
  <c r="N1397" i="3"/>
  <c r="N1398" i="3"/>
  <c r="N1399" i="3"/>
  <c r="N1400" i="3"/>
  <c r="N1401" i="3"/>
  <c r="N1402" i="3"/>
  <c r="N1403" i="3"/>
  <c r="N1404" i="3"/>
  <c r="N1405" i="3"/>
  <c r="N1406" i="3"/>
  <c r="N1407" i="3"/>
  <c r="N1408" i="3"/>
  <c r="N1409" i="3"/>
  <c r="N1410" i="3"/>
  <c r="N1411" i="3"/>
  <c r="N1412" i="3"/>
  <c r="N1413" i="3"/>
  <c r="N1414" i="3"/>
  <c r="N1415" i="3"/>
  <c r="N1416" i="3"/>
  <c r="N1417" i="3"/>
  <c r="N1418" i="3"/>
  <c r="N1419" i="3"/>
  <c r="N1420" i="3"/>
  <c r="N1421" i="3"/>
  <c r="N1422" i="3"/>
  <c r="N1423" i="3"/>
  <c r="N1424" i="3"/>
  <c r="N1425" i="3"/>
  <c r="N1426" i="3"/>
  <c r="N1427" i="3"/>
  <c r="N1428" i="3"/>
  <c r="N1429" i="3"/>
  <c r="N1430" i="3"/>
  <c r="N1431" i="3"/>
  <c r="N1432" i="3"/>
  <c r="N1433" i="3"/>
  <c r="N1434" i="3"/>
  <c r="N1435" i="3"/>
  <c r="N1436" i="3"/>
  <c r="N1437" i="3"/>
  <c r="N1438" i="3"/>
  <c r="N1439" i="3"/>
  <c r="N1440" i="3"/>
  <c r="N1441" i="3"/>
  <c r="N1442" i="3"/>
  <c r="N1443" i="3"/>
  <c r="N1444" i="3"/>
  <c r="N1445" i="3"/>
  <c r="N1446" i="3"/>
  <c r="N1447" i="3"/>
  <c r="N1448" i="3"/>
  <c r="N1449" i="3"/>
  <c r="N1450" i="3"/>
  <c r="N1451" i="3"/>
  <c r="N1452" i="3"/>
  <c r="N1453" i="3"/>
  <c r="N1454" i="3"/>
  <c r="N1455" i="3"/>
  <c r="N1456" i="3"/>
  <c r="N1457" i="3"/>
  <c r="N1458" i="3"/>
  <c r="N1459" i="3"/>
  <c r="N1460" i="3"/>
  <c r="N1461" i="3"/>
  <c r="N1462" i="3"/>
  <c r="N1463" i="3"/>
  <c r="N1464" i="3"/>
  <c r="N1465" i="3"/>
  <c r="N1466" i="3"/>
  <c r="N1467" i="3"/>
  <c r="N1468" i="3"/>
  <c r="N1469" i="3"/>
  <c r="N1470" i="3"/>
  <c r="N1471" i="3"/>
  <c r="N1472" i="3"/>
  <c r="N1473" i="3"/>
  <c r="N1474" i="3"/>
  <c r="N1475" i="3"/>
  <c r="N1476" i="3"/>
  <c r="N1477" i="3"/>
  <c r="N1478" i="3"/>
  <c r="N1479" i="3"/>
  <c r="N1480" i="3"/>
  <c r="N1481" i="3"/>
  <c r="N1482" i="3"/>
  <c r="N1483" i="3"/>
  <c r="N1484" i="3"/>
  <c r="N1485" i="3"/>
  <c r="N1486" i="3"/>
  <c r="N1487" i="3"/>
  <c r="N1488" i="3"/>
  <c r="N1489" i="3"/>
  <c r="N1490" i="3"/>
  <c r="N1491" i="3"/>
  <c r="N1492" i="3"/>
  <c r="N1493" i="3"/>
  <c r="N1494" i="3"/>
  <c r="N1495" i="3"/>
  <c r="N1496" i="3"/>
  <c r="N1497" i="3"/>
  <c r="N1498" i="3"/>
  <c r="N1499" i="3"/>
  <c r="N1500" i="3"/>
  <c r="N1501" i="3"/>
  <c r="N1502" i="3"/>
  <c r="N1503" i="3"/>
  <c r="N1504" i="3"/>
  <c r="N1505" i="3"/>
  <c r="N1506" i="3"/>
  <c r="N1507" i="3"/>
  <c r="N1508" i="3"/>
  <c r="N1509" i="3"/>
  <c r="N1510" i="3"/>
  <c r="N1511" i="3"/>
  <c r="N1512" i="3"/>
  <c r="N1513" i="3"/>
  <c r="N1514" i="3"/>
  <c r="N1515" i="3"/>
  <c r="N1516" i="3"/>
  <c r="N1517" i="3"/>
  <c r="N1518" i="3"/>
  <c r="N1519" i="3"/>
  <c r="N1520" i="3"/>
  <c r="N1521" i="3"/>
  <c r="N1522" i="3"/>
  <c r="N1523" i="3"/>
  <c r="N1524" i="3"/>
  <c r="N1525" i="3"/>
  <c r="N1526" i="3"/>
  <c r="N1527" i="3"/>
  <c r="N1528" i="3"/>
  <c r="N1529" i="3"/>
  <c r="N1530" i="3"/>
  <c r="N1531" i="3"/>
  <c r="N1532" i="3"/>
  <c r="N1533" i="3"/>
  <c r="N1534" i="3"/>
  <c r="N1535" i="3"/>
  <c r="N1536" i="3"/>
  <c r="N1537" i="3"/>
  <c r="N1538" i="3"/>
  <c r="N1539" i="3"/>
  <c r="N1540" i="3"/>
  <c r="N1541" i="3"/>
  <c r="N1542" i="3"/>
  <c r="N1543" i="3"/>
  <c r="N1544" i="3"/>
  <c r="N1545" i="3"/>
  <c r="N1546" i="3"/>
  <c r="N1547" i="3"/>
  <c r="N1548" i="3"/>
  <c r="N1549" i="3"/>
  <c r="N1550" i="3"/>
  <c r="N1551" i="3"/>
  <c r="N1552" i="3"/>
  <c r="N1553" i="3"/>
  <c r="N1554" i="3"/>
  <c r="N1555" i="3"/>
  <c r="N1556" i="3"/>
  <c r="N1557" i="3"/>
  <c r="N1558" i="3"/>
  <c r="N1559" i="3"/>
  <c r="N1560" i="3"/>
  <c r="N1561" i="3"/>
  <c r="N1562" i="3"/>
  <c r="N1563" i="3"/>
  <c r="N1564" i="3"/>
  <c r="N1565" i="3"/>
  <c r="N1566" i="3"/>
  <c r="N1567" i="3"/>
  <c r="N1568" i="3"/>
  <c r="N1569" i="3"/>
  <c r="N1570" i="3"/>
  <c r="N1571" i="3"/>
  <c r="N1572" i="3"/>
  <c r="N1573" i="3"/>
  <c r="N1574" i="3"/>
  <c r="N1575" i="3"/>
  <c r="N1576" i="3"/>
  <c r="N1577" i="3"/>
  <c r="N1578" i="3"/>
  <c r="N1579" i="3"/>
  <c r="N1580" i="3"/>
  <c r="N1581" i="3"/>
  <c r="N1582" i="3"/>
  <c r="N1583" i="3"/>
  <c r="N1584" i="3"/>
  <c r="N1585" i="3"/>
  <c r="N1586" i="3"/>
  <c r="N1587" i="3"/>
  <c r="N1588" i="3"/>
  <c r="N1589" i="3"/>
  <c r="N1590" i="3"/>
  <c r="N1591" i="3"/>
  <c r="N1592" i="3"/>
  <c r="N1593" i="3"/>
  <c r="N1594" i="3"/>
  <c r="N1595" i="3"/>
  <c r="N1596" i="3"/>
  <c r="N1597" i="3"/>
  <c r="N1598" i="3"/>
  <c r="N1599" i="3"/>
  <c r="N1600" i="3"/>
  <c r="N1601" i="3"/>
  <c r="N1602" i="3"/>
  <c r="N1603" i="3"/>
  <c r="N1604" i="3"/>
  <c r="N1605" i="3"/>
  <c r="N1606" i="3"/>
  <c r="N1607" i="3"/>
  <c r="N1608" i="3"/>
  <c r="N1609" i="3"/>
  <c r="N1610" i="3"/>
  <c r="N1611" i="3"/>
  <c r="N1612" i="3"/>
  <c r="N1613" i="3"/>
  <c r="N1614" i="3"/>
  <c r="N1615" i="3"/>
  <c r="N1616" i="3"/>
  <c r="N1617" i="3"/>
  <c r="N1618" i="3"/>
  <c r="N1619" i="3"/>
  <c r="N1620" i="3"/>
  <c r="N1621" i="3"/>
  <c r="N1622" i="3"/>
  <c r="N1623" i="3"/>
  <c r="N1624" i="3"/>
  <c r="N1625" i="3"/>
  <c r="N1626" i="3"/>
  <c r="N1627" i="3"/>
  <c r="N1628" i="3"/>
  <c r="N1629" i="3"/>
  <c r="N1630" i="3"/>
  <c r="N1631" i="3"/>
  <c r="N1632" i="3"/>
  <c r="N1633" i="3"/>
  <c r="N1634" i="3"/>
  <c r="N1635" i="3"/>
  <c r="N1636" i="3"/>
  <c r="N1637" i="3"/>
  <c r="N1638" i="3"/>
  <c r="N1639" i="3"/>
  <c r="N1640" i="3"/>
  <c r="N1641" i="3"/>
  <c r="N1642" i="3"/>
  <c r="N1643" i="3"/>
  <c r="N1644" i="3"/>
  <c r="N1645" i="3"/>
  <c r="N1646" i="3"/>
  <c r="N1647" i="3"/>
  <c r="N1648" i="3"/>
  <c r="N1649" i="3"/>
  <c r="N1650" i="3"/>
  <c r="N1651" i="3"/>
  <c r="N1652" i="3"/>
  <c r="N1653" i="3"/>
  <c r="N1654" i="3"/>
  <c r="N1655" i="3"/>
  <c r="N1656" i="3"/>
  <c r="N1657" i="3"/>
  <c r="N1658" i="3"/>
  <c r="N1659" i="3"/>
  <c r="N1660" i="3"/>
  <c r="N1661" i="3"/>
  <c r="N1662" i="3"/>
  <c r="N1663" i="3"/>
  <c r="N1664" i="3"/>
  <c r="N1665" i="3"/>
  <c r="N1666" i="3"/>
  <c r="N1667" i="3"/>
  <c r="N1668" i="3"/>
  <c r="N1669" i="3"/>
  <c r="N1670" i="3"/>
  <c r="N1671" i="3"/>
  <c r="N1672" i="3"/>
  <c r="N1673" i="3"/>
  <c r="N1674" i="3"/>
  <c r="N1675" i="3"/>
  <c r="N1676" i="3"/>
  <c r="N1677" i="3"/>
  <c r="N1678" i="3"/>
  <c r="N1679" i="3"/>
  <c r="N1680" i="3"/>
  <c r="N1681" i="3"/>
  <c r="N1682" i="3"/>
  <c r="N1683" i="3"/>
  <c r="N1684" i="3"/>
  <c r="N1685" i="3"/>
  <c r="N1686" i="3"/>
  <c r="N1687" i="3"/>
  <c r="N1688" i="3"/>
  <c r="N1689" i="3"/>
  <c r="N1690" i="3"/>
  <c r="N1691" i="3"/>
  <c r="N1692" i="3"/>
  <c r="N1693" i="3"/>
  <c r="N1694" i="3"/>
  <c r="N1695" i="3"/>
  <c r="N1696" i="3"/>
  <c r="N1697" i="3"/>
  <c r="N1698" i="3"/>
  <c r="N1699" i="3"/>
  <c r="N1700" i="3"/>
  <c r="N1701" i="3"/>
  <c r="N1702" i="3"/>
  <c r="N1703" i="3"/>
  <c r="N1704" i="3"/>
  <c r="N1705" i="3"/>
  <c r="N1706" i="3"/>
  <c r="N1707" i="3"/>
  <c r="N1708" i="3"/>
  <c r="N1709" i="3"/>
  <c r="N1710" i="3"/>
  <c r="N1711" i="3"/>
  <c r="N1712" i="3"/>
  <c r="N1713" i="3"/>
  <c r="N1714" i="3"/>
  <c r="N1715" i="3"/>
  <c r="N1716" i="3"/>
  <c r="N1717" i="3"/>
  <c r="N1718" i="3"/>
  <c r="N1719" i="3"/>
  <c r="N1720" i="3"/>
  <c r="N1721" i="3"/>
  <c r="N1722" i="3"/>
  <c r="N1723" i="3"/>
  <c r="N1724" i="3"/>
  <c r="N1725" i="3"/>
  <c r="N1726" i="3"/>
  <c r="N1727" i="3"/>
  <c r="N1728" i="3"/>
  <c r="N1729" i="3"/>
  <c r="N1730" i="3"/>
  <c r="N1731" i="3"/>
  <c r="N1732" i="3"/>
  <c r="N1733" i="3"/>
  <c r="N1734" i="3"/>
  <c r="N1735" i="3"/>
  <c r="N1736" i="3"/>
  <c r="N1737" i="3"/>
  <c r="N1738" i="3"/>
  <c r="N1739" i="3"/>
  <c r="N1740" i="3"/>
  <c r="N1741" i="3"/>
  <c r="N1742" i="3"/>
  <c r="N1743" i="3"/>
  <c r="N1744" i="3"/>
  <c r="N1745" i="3"/>
  <c r="N1746" i="3"/>
  <c r="N1747" i="3"/>
  <c r="N1748" i="3"/>
  <c r="N1749" i="3"/>
  <c r="N1750" i="3"/>
  <c r="N1751" i="3"/>
  <c r="N1752" i="3"/>
  <c r="N1753" i="3"/>
  <c r="N1754" i="3"/>
  <c r="N1755" i="3"/>
  <c r="N1756" i="3"/>
  <c r="N1757" i="3"/>
  <c r="N1758" i="3"/>
  <c r="N1759" i="3"/>
  <c r="N1760" i="3"/>
  <c r="N1761" i="3"/>
  <c r="N1762" i="3"/>
  <c r="N1763" i="3"/>
  <c r="N1764" i="3"/>
  <c r="N1765" i="3"/>
  <c r="N1766" i="3"/>
  <c r="N1767" i="3"/>
  <c r="N1768" i="3"/>
  <c r="N1769" i="3"/>
  <c r="N1770" i="3"/>
  <c r="N1771" i="3"/>
  <c r="N1772" i="3"/>
  <c r="N1773" i="3"/>
  <c r="N1774" i="3"/>
  <c r="N1775" i="3"/>
  <c r="N1776" i="3"/>
  <c r="N1777" i="3"/>
  <c r="N1778" i="3"/>
  <c r="N1779" i="3"/>
  <c r="N1780" i="3"/>
  <c r="N1781" i="3"/>
  <c r="N1782" i="3"/>
  <c r="N1783" i="3"/>
  <c r="N1784" i="3"/>
  <c r="N1785" i="3"/>
  <c r="N1786" i="3"/>
  <c r="N1787" i="3"/>
  <c r="N1788" i="3"/>
  <c r="N1789" i="3"/>
  <c r="N1790" i="3"/>
  <c r="N1791" i="3"/>
  <c r="N1792" i="3"/>
  <c r="N1793" i="3"/>
  <c r="N1794" i="3"/>
  <c r="N1795" i="3"/>
  <c r="N1796" i="3"/>
  <c r="N1797" i="3"/>
  <c r="N1798" i="3"/>
  <c r="N1799" i="3"/>
  <c r="N1800" i="3"/>
  <c r="N1801" i="3"/>
  <c r="N1802" i="3"/>
  <c r="N1803" i="3"/>
  <c r="N1804" i="3"/>
  <c r="N1805" i="3"/>
  <c r="N1806" i="3"/>
  <c r="N1807" i="3"/>
  <c r="N1808" i="3"/>
  <c r="N1809" i="3"/>
  <c r="N1810" i="3"/>
  <c r="N1811" i="3"/>
  <c r="N1812" i="3"/>
  <c r="N1813" i="3"/>
  <c r="N1814" i="3"/>
  <c r="N1815" i="3"/>
  <c r="N1816" i="3"/>
  <c r="N1817" i="3"/>
  <c r="N1818" i="3"/>
  <c r="N1819" i="3"/>
  <c r="N1820" i="3"/>
  <c r="N1821" i="3"/>
  <c r="N1822" i="3"/>
  <c r="N1823" i="3"/>
  <c r="N1824" i="3"/>
  <c r="N1825" i="3"/>
  <c r="N1826" i="3"/>
  <c r="N1827" i="3"/>
  <c r="N1828" i="3"/>
  <c r="N1829" i="3"/>
  <c r="N1830" i="3"/>
  <c r="N1831" i="3"/>
  <c r="N1832" i="3"/>
  <c r="N1833" i="3"/>
  <c r="N1834" i="3"/>
  <c r="N1835" i="3"/>
  <c r="N1836" i="3"/>
  <c r="N1837" i="3"/>
  <c r="N1838" i="3"/>
  <c r="N1839" i="3"/>
  <c r="N1840" i="3"/>
  <c r="N1841" i="3"/>
  <c r="N1842" i="3"/>
  <c r="N1843" i="3"/>
  <c r="N1844" i="3"/>
  <c r="N1845" i="3"/>
  <c r="N1846" i="3"/>
  <c r="N1847" i="3"/>
  <c r="N1848" i="3"/>
  <c r="N1849" i="3"/>
  <c r="N1850" i="3"/>
  <c r="N1851" i="3"/>
  <c r="N1852" i="3"/>
  <c r="N1853" i="3"/>
  <c r="N1854" i="3"/>
  <c r="N1855" i="3"/>
  <c r="N1856" i="3"/>
  <c r="N1857" i="3"/>
  <c r="N1858" i="3"/>
  <c r="N1859" i="3"/>
  <c r="N1860" i="3"/>
  <c r="N1861" i="3"/>
  <c r="N1862" i="3"/>
  <c r="N1863" i="3"/>
  <c r="N1864" i="3"/>
  <c r="N1865" i="3"/>
  <c r="N1866" i="3"/>
  <c r="N1867" i="3"/>
  <c r="N1868" i="3"/>
  <c r="N1869" i="3"/>
  <c r="N1870" i="3"/>
  <c r="N1871" i="3"/>
  <c r="N1872" i="3"/>
  <c r="N1873" i="3"/>
  <c r="N1874" i="3"/>
  <c r="N1875" i="3"/>
  <c r="N1876" i="3"/>
  <c r="N1877" i="3"/>
  <c r="N1878" i="3"/>
  <c r="N1879" i="3"/>
  <c r="N1880" i="3"/>
  <c r="N1881" i="3"/>
  <c r="N1882" i="3"/>
  <c r="N1883" i="3"/>
  <c r="N1884" i="3"/>
  <c r="N1885" i="3"/>
  <c r="N1886" i="3"/>
  <c r="N1887" i="3"/>
  <c r="N1888" i="3"/>
  <c r="N1889" i="3"/>
  <c r="N1890" i="3"/>
  <c r="N1891" i="3"/>
  <c r="N1892" i="3"/>
  <c r="N1893" i="3"/>
  <c r="N1894" i="3"/>
  <c r="N1895" i="3"/>
  <c r="N1896" i="3"/>
  <c r="N1897" i="3"/>
  <c r="N1898" i="3"/>
  <c r="N1899" i="3"/>
  <c r="N1900" i="3"/>
  <c r="N1901" i="3"/>
  <c r="N1902" i="3"/>
  <c r="N1903" i="3"/>
  <c r="N1904" i="3"/>
  <c r="N1905" i="3"/>
  <c r="N1906" i="3"/>
  <c r="N1907" i="3"/>
  <c r="N1908" i="3"/>
  <c r="N1909" i="3"/>
  <c r="N1910" i="3"/>
  <c r="N1911" i="3"/>
  <c r="N1912" i="3"/>
  <c r="N1913" i="3"/>
  <c r="N1914" i="3"/>
  <c r="N1915" i="3"/>
  <c r="N1916" i="3"/>
  <c r="N1917" i="3"/>
  <c r="N1918" i="3"/>
  <c r="N1919" i="3"/>
  <c r="N1920" i="3"/>
  <c r="N1921" i="3"/>
  <c r="N1922" i="3"/>
  <c r="N1923" i="3"/>
  <c r="N1924" i="3"/>
  <c r="N1925" i="3"/>
  <c r="N1926" i="3"/>
  <c r="N1927" i="3"/>
  <c r="N1928" i="3"/>
  <c r="N1929" i="3"/>
  <c r="N1930" i="3"/>
  <c r="N1931" i="3"/>
  <c r="N1932" i="3"/>
  <c r="N1933" i="3"/>
  <c r="N1934" i="3"/>
  <c r="N1935" i="3"/>
  <c r="N1936" i="3"/>
  <c r="N1937" i="3"/>
  <c r="N1938" i="3"/>
  <c r="N1939" i="3"/>
  <c r="N1940" i="3"/>
  <c r="N1941" i="3"/>
  <c r="N1942" i="3"/>
  <c r="N1943" i="3"/>
  <c r="N1944" i="3"/>
  <c r="N1945" i="3"/>
  <c r="N1946" i="3"/>
  <c r="N1947" i="3"/>
  <c r="N1948" i="3"/>
  <c r="N1949" i="3"/>
  <c r="N1950" i="3"/>
  <c r="N1951" i="3"/>
  <c r="N1952" i="3"/>
  <c r="N1953" i="3"/>
  <c r="N1954" i="3"/>
  <c r="N1955" i="3"/>
  <c r="N1956" i="3"/>
  <c r="N1957" i="3"/>
  <c r="N1958" i="3"/>
  <c r="N1959" i="3"/>
  <c r="N1960" i="3"/>
  <c r="N1961" i="3"/>
  <c r="N1962" i="3"/>
  <c r="N1963" i="3"/>
  <c r="N1964" i="3"/>
  <c r="N1965" i="3"/>
  <c r="N1966" i="3"/>
  <c r="N1967" i="3"/>
  <c r="N1968" i="3"/>
  <c r="N1969" i="3"/>
  <c r="N1970" i="3"/>
  <c r="N1971" i="3"/>
  <c r="N1972" i="3"/>
  <c r="N1973" i="3"/>
  <c r="N1974" i="3"/>
  <c r="N1975" i="3"/>
  <c r="N1976" i="3"/>
  <c r="N1977" i="3"/>
  <c r="N1978" i="3"/>
  <c r="N1979" i="3"/>
  <c r="N1980" i="3"/>
  <c r="N1981" i="3"/>
  <c r="N1982" i="3"/>
  <c r="N1983" i="3"/>
  <c r="N1984" i="3"/>
  <c r="N1985" i="3"/>
  <c r="N1986" i="3"/>
  <c r="N1987" i="3"/>
  <c r="N1988" i="3"/>
  <c r="N1989" i="3"/>
  <c r="N1990" i="3"/>
  <c r="N1991" i="3"/>
  <c r="N1992" i="3"/>
  <c r="N1993" i="3"/>
  <c r="N1994" i="3"/>
  <c r="N1995" i="3"/>
  <c r="N1996" i="3"/>
  <c r="N1997" i="3"/>
  <c r="N1998" i="3"/>
  <c r="N1999" i="3"/>
  <c r="N2000" i="3"/>
  <c r="N2001" i="3"/>
  <c r="N2002" i="3"/>
  <c r="N2003" i="3"/>
  <c r="N2004" i="3"/>
  <c r="M5" i="3"/>
  <c r="M6" i="3"/>
  <c r="M7" i="3"/>
  <c r="M8" i="3"/>
  <c r="M9" i="3"/>
  <c r="M10" i="3"/>
  <c r="M11" i="3"/>
  <c r="M12" i="3"/>
  <c r="M13" i="3"/>
  <c r="M14" i="3"/>
  <c r="M15" i="3"/>
  <c r="M16" i="3"/>
  <c r="M61" i="3"/>
  <c r="M68" i="3"/>
  <c r="M74" i="3"/>
  <c r="M86" i="3"/>
  <c r="M97" i="3"/>
  <c r="M104" i="3"/>
  <c r="M115" i="3"/>
  <c r="M117" i="3"/>
  <c r="M139" i="3"/>
  <c r="M147" i="3"/>
  <c r="M182" i="3"/>
  <c r="M183" i="3"/>
  <c r="M184" i="3"/>
  <c r="M185" i="3"/>
  <c r="M186" i="3"/>
  <c r="M187" i="3"/>
  <c r="M188" i="3"/>
  <c r="M189" i="3"/>
  <c r="M190" i="3"/>
  <c r="M191" i="3"/>
  <c r="M192" i="3"/>
  <c r="M193" i="3"/>
  <c r="M194" i="3"/>
  <c r="M195" i="3"/>
  <c r="M196" i="3"/>
  <c r="M197" i="3"/>
  <c r="M198" i="3"/>
  <c r="M199" i="3"/>
  <c r="M200" i="3"/>
  <c r="M201" i="3"/>
  <c r="M202" i="3"/>
  <c r="M203" i="3"/>
  <c r="M204" i="3"/>
  <c r="M205" i="3"/>
  <c r="M206" i="3"/>
  <c r="M207" i="3"/>
  <c r="M208" i="3"/>
  <c r="M209" i="3"/>
  <c r="M210" i="3"/>
  <c r="M211" i="3"/>
  <c r="M212" i="3"/>
  <c r="M213" i="3"/>
  <c r="M214" i="3"/>
  <c r="M215" i="3"/>
  <c r="M216" i="3"/>
  <c r="M217" i="3"/>
  <c r="M218" i="3"/>
  <c r="M219" i="3"/>
  <c r="M220" i="3"/>
  <c r="M221" i="3"/>
  <c r="M222" i="3"/>
  <c r="M223" i="3"/>
  <c r="M224" i="3"/>
  <c r="M225" i="3"/>
  <c r="M226" i="3"/>
  <c r="M227" i="3"/>
  <c r="M228" i="3"/>
  <c r="M229" i="3"/>
  <c r="M230" i="3"/>
  <c r="M231" i="3"/>
  <c r="M232" i="3"/>
  <c r="M233" i="3"/>
  <c r="M234" i="3"/>
  <c r="M235" i="3"/>
  <c r="M236" i="3"/>
  <c r="M237" i="3"/>
  <c r="M238" i="3"/>
  <c r="M239" i="3"/>
  <c r="M240" i="3"/>
  <c r="M241" i="3"/>
  <c r="M242" i="3"/>
  <c r="M243" i="3"/>
  <c r="M244" i="3"/>
  <c r="M245" i="3"/>
  <c r="M246" i="3"/>
  <c r="M247" i="3"/>
  <c r="M248" i="3"/>
  <c r="M249" i="3"/>
  <c r="M250" i="3"/>
  <c r="M251" i="3"/>
  <c r="M252" i="3"/>
  <c r="M253" i="3"/>
  <c r="M254" i="3"/>
  <c r="M255" i="3"/>
  <c r="M256" i="3"/>
  <c r="M257" i="3"/>
  <c r="M258" i="3"/>
  <c r="M259" i="3"/>
  <c r="M260" i="3"/>
  <c r="M261" i="3"/>
  <c r="M262" i="3"/>
  <c r="M263" i="3"/>
  <c r="M264" i="3"/>
  <c r="M265" i="3"/>
  <c r="M266" i="3"/>
  <c r="M267" i="3"/>
  <c r="M268" i="3"/>
  <c r="M269" i="3"/>
  <c r="M270" i="3"/>
  <c r="M271" i="3"/>
  <c r="M272" i="3"/>
  <c r="M273" i="3"/>
  <c r="M274" i="3"/>
  <c r="M275" i="3"/>
  <c r="M276" i="3"/>
  <c r="M277" i="3"/>
  <c r="M278" i="3"/>
  <c r="M279" i="3"/>
  <c r="M280" i="3"/>
  <c r="M281" i="3"/>
  <c r="M282" i="3"/>
  <c r="M283" i="3"/>
  <c r="M284" i="3"/>
  <c r="M285" i="3"/>
  <c r="M286" i="3"/>
  <c r="M287" i="3"/>
  <c r="M288" i="3"/>
  <c r="M289" i="3"/>
  <c r="M290" i="3"/>
  <c r="M291" i="3"/>
  <c r="M292" i="3"/>
  <c r="M293" i="3"/>
  <c r="M294" i="3"/>
  <c r="M295" i="3"/>
  <c r="M296" i="3"/>
  <c r="M297" i="3"/>
  <c r="M298" i="3"/>
  <c r="M299" i="3"/>
  <c r="M300" i="3"/>
  <c r="M301" i="3"/>
  <c r="M302" i="3"/>
  <c r="M303" i="3"/>
  <c r="M304" i="3"/>
  <c r="M305" i="3"/>
  <c r="M306" i="3"/>
  <c r="M307" i="3"/>
  <c r="M308" i="3"/>
  <c r="M309" i="3"/>
  <c r="M310" i="3"/>
  <c r="M311" i="3"/>
  <c r="M312" i="3"/>
  <c r="M313" i="3"/>
  <c r="M314" i="3"/>
  <c r="M315" i="3"/>
  <c r="M316" i="3"/>
  <c r="M317" i="3"/>
  <c r="M318" i="3"/>
  <c r="M319" i="3"/>
  <c r="M320" i="3"/>
  <c r="M321" i="3"/>
  <c r="M322" i="3"/>
  <c r="M323" i="3"/>
  <c r="M324" i="3"/>
  <c r="M325" i="3"/>
  <c r="M326" i="3"/>
  <c r="M327" i="3"/>
  <c r="M328" i="3"/>
  <c r="M329" i="3"/>
  <c r="M330" i="3"/>
  <c r="M331" i="3"/>
  <c r="M332" i="3"/>
  <c r="M333" i="3"/>
  <c r="M334" i="3"/>
  <c r="M335" i="3"/>
  <c r="M336" i="3"/>
  <c r="M337" i="3"/>
  <c r="M338" i="3"/>
  <c r="M339" i="3"/>
  <c r="M340" i="3"/>
  <c r="M341" i="3"/>
  <c r="M342" i="3"/>
  <c r="M343" i="3"/>
  <c r="M344" i="3"/>
  <c r="M345" i="3"/>
  <c r="M346" i="3"/>
  <c r="M347" i="3"/>
  <c r="M348" i="3"/>
  <c r="M349" i="3"/>
  <c r="M350" i="3"/>
  <c r="M351" i="3"/>
  <c r="M352" i="3"/>
  <c r="M353" i="3"/>
  <c r="M354" i="3"/>
  <c r="M355" i="3"/>
  <c r="M356" i="3"/>
  <c r="M357" i="3"/>
  <c r="M358" i="3"/>
  <c r="M359" i="3"/>
  <c r="M360" i="3"/>
  <c r="M361" i="3"/>
  <c r="M362" i="3"/>
  <c r="M363" i="3"/>
  <c r="M364" i="3"/>
  <c r="M365" i="3"/>
  <c r="M366" i="3"/>
  <c r="M367" i="3"/>
  <c r="M368" i="3"/>
  <c r="M369" i="3"/>
  <c r="M370" i="3"/>
  <c r="M371" i="3"/>
  <c r="M372" i="3"/>
  <c r="M373" i="3"/>
  <c r="M374" i="3"/>
  <c r="M375" i="3"/>
  <c r="M376" i="3"/>
  <c r="M377" i="3"/>
  <c r="M378" i="3"/>
  <c r="M379" i="3"/>
  <c r="M380" i="3"/>
  <c r="M381" i="3"/>
  <c r="M382" i="3"/>
  <c r="M383" i="3"/>
  <c r="M384" i="3"/>
  <c r="M385" i="3"/>
  <c r="M386" i="3"/>
  <c r="M387" i="3"/>
  <c r="M388" i="3"/>
  <c r="M389" i="3"/>
  <c r="M390" i="3"/>
  <c r="M391" i="3"/>
  <c r="M392" i="3"/>
  <c r="M393" i="3"/>
  <c r="M394" i="3"/>
  <c r="M395" i="3"/>
  <c r="M396" i="3"/>
  <c r="M397" i="3"/>
  <c r="M398" i="3"/>
  <c r="M399" i="3"/>
  <c r="M400" i="3"/>
  <c r="M401" i="3"/>
  <c r="M402" i="3"/>
  <c r="M403" i="3"/>
  <c r="M404" i="3"/>
  <c r="M405" i="3"/>
  <c r="M406" i="3"/>
  <c r="M407" i="3"/>
  <c r="M408" i="3"/>
  <c r="M409" i="3"/>
  <c r="M410" i="3"/>
  <c r="M411" i="3"/>
  <c r="M412" i="3"/>
  <c r="M413" i="3"/>
  <c r="M414" i="3"/>
  <c r="M415" i="3"/>
  <c r="M416" i="3"/>
  <c r="M417" i="3"/>
  <c r="M418" i="3"/>
  <c r="M419" i="3"/>
  <c r="M420" i="3"/>
  <c r="M421" i="3"/>
  <c r="M422" i="3"/>
  <c r="M423" i="3"/>
  <c r="M424" i="3"/>
  <c r="M425" i="3"/>
  <c r="M426" i="3"/>
  <c r="M427" i="3"/>
  <c r="M428" i="3"/>
  <c r="M429" i="3"/>
  <c r="M430" i="3"/>
  <c r="M431" i="3"/>
  <c r="M432" i="3"/>
  <c r="M433" i="3"/>
  <c r="M434" i="3"/>
  <c r="M435" i="3"/>
  <c r="M436" i="3"/>
  <c r="M437" i="3"/>
  <c r="M438" i="3"/>
  <c r="M439" i="3"/>
  <c r="M440" i="3"/>
  <c r="M441" i="3"/>
  <c r="M442" i="3"/>
  <c r="M443" i="3"/>
  <c r="M444" i="3"/>
  <c r="M445" i="3"/>
  <c r="M446" i="3"/>
  <c r="M447" i="3"/>
  <c r="M448" i="3"/>
  <c r="M449" i="3"/>
  <c r="M450" i="3"/>
  <c r="M451" i="3"/>
  <c r="M452" i="3"/>
  <c r="M453" i="3"/>
  <c r="M454" i="3"/>
  <c r="M455" i="3"/>
  <c r="M456" i="3"/>
  <c r="M457" i="3"/>
  <c r="M458" i="3"/>
  <c r="M459" i="3"/>
  <c r="M460" i="3"/>
  <c r="M461" i="3"/>
  <c r="M462" i="3"/>
  <c r="M463" i="3"/>
  <c r="M464" i="3"/>
  <c r="M465" i="3"/>
  <c r="M466" i="3"/>
  <c r="M467" i="3"/>
  <c r="M468" i="3"/>
  <c r="M469" i="3"/>
  <c r="M470" i="3"/>
  <c r="M471" i="3"/>
  <c r="M472" i="3"/>
  <c r="M473" i="3"/>
  <c r="M474" i="3"/>
  <c r="M475" i="3"/>
  <c r="M476" i="3"/>
  <c r="M477" i="3"/>
  <c r="M478" i="3"/>
  <c r="M479" i="3"/>
  <c r="M480" i="3"/>
  <c r="M481" i="3"/>
  <c r="M482" i="3"/>
  <c r="M483" i="3"/>
  <c r="M484" i="3"/>
  <c r="M485" i="3"/>
  <c r="M486" i="3"/>
  <c r="M487" i="3"/>
  <c r="M488" i="3"/>
  <c r="M489" i="3"/>
  <c r="M490" i="3"/>
  <c r="M491" i="3"/>
  <c r="M492" i="3"/>
  <c r="M493" i="3"/>
  <c r="M494" i="3"/>
  <c r="M495" i="3"/>
  <c r="M496" i="3"/>
  <c r="M497" i="3"/>
  <c r="M498" i="3"/>
  <c r="M499" i="3"/>
  <c r="M500" i="3"/>
  <c r="M501" i="3"/>
  <c r="M502" i="3"/>
  <c r="M503" i="3"/>
  <c r="M504" i="3"/>
  <c r="M505" i="3"/>
  <c r="M506" i="3"/>
  <c r="M507" i="3"/>
  <c r="M508" i="3"/>
  <c r="M509" i="3"/>
  <c r="M510" i="3"/>
  <c r="M511" i="3"/>
  <c r="M512" i="3"/>
  <c r="M513" i="3"/>
  <c r="M514" i="3"/>
  <c r="M515" i="3"/>
  <c r="M516" i="3"/>
  <c r="M517" i="3"/>
  <c r="M518" i="3"/>
  <c r="M519" i="3"/>
  <c r="M520" i="3"/>
  <c r="M521" i="3"/>
  <c r="M522" i="3"/>
  <c r="M523" i="3"/>
  <c r="M524" i="3"/>
  <c r="M525" i="3"/>
  <c r="M526" i="3"/>
  <c r="M527" i="3"/>
  <c r="M528" i="3"/>
  <c r="M529" i="3"/>
  <c r="M530" i="3"/>
  <c r="M531" i="3"/>
  <c r="M532" i="3"/>
  <c r="M533" i="3"/>
  <c r="M534" i="3"/>
  <c r="M535" i="3"/>
  <c r="M536" i="3"/>
  <c r="M537" i="3"/>
  <c r="M538" i="3"/>
  <c r="M539" i="3"/>
  <c r="M540" i="3"/>
  <c r="M541" i="3"/>
  <c r="M542" i="3"/>
  <c r="M543" i="3"/>
  <c r="M544" i="3"/>
  <c r="M545" i="3"/>
  <c r="M546" i="3"/>
  <c r="M547" i="3"/>
  <c r="M548" i="3"/>
  <c r="M549" i="3"/>
  <c r="M550" i="3"/>
  <c r="M551" i="3"/>
  <c r="M552" i="3"/>
  <c r="M553" i="3"/>
  <c r="M554" i="3"/>
  <c r="M555" i="3"/>
  <c r="M556" i="3"/>
  <c r="M557" i="3"/>
  <c r="M558" i="3"/>
  <c r="M559" i="3"/>
  <c r="M560" i="3"/>
  <c r="M561" i="3"/>
  <c r="M562" i="3"/>
  <c r="M563" i="3"/>
  <c r="M564" i="3"/>
  <c r="M565" i="3"/>
  <c r="M566" i="3"/>
  <c r="M567" i="3"/>
  <c r="M568" i="3"/>
  <c r="M569" i="3"/>
  <c r="M570" i="3"/>
  <c r="M571" i="3"/>
  <c r="M572" i="3"/>
  <c r="M573" i="3"/>
  <c r="M574" i="3"/>
  <c r="M575" i="3"/>
  <c r="M576" i="3"/>
  <c r="M577" i="3"/>
  <c r="M578" i="3"/>
  <c r="M579" i="3"/>
  <c r="M580" i="3"/>
  <c r="M581" i="3"/>
  <c r="M582" i="3"/>
  <c r="M583" i="3"/>
  <c r="M584" i="3"/>
  <c r="M585" i="3"/>
  <c r="M586" i="3"/>
  <c r="M587" i="3"/>
  <c r="M588" i="3"/>
  <c r="M589" i="3"/>
  <c r="M590" i="3"/>
  <c r="M591" i="3"/>
  <c r="M592" i="3"/>
  <c r="M593" i="3"/>
  <c r="M594" i="3"/>
  <c r="M595" i="3"/>
  <c r="M596" i="3"/>
  <c r="M597" i="3"/>
  <c r="M598" i="3"/>
  <c r="M599" i="3"/>
  <c r="M600" i="3"/>
  <c r="M601" i="3"/>
  <c r="M602" i="3"/>
  <c r="M603" i="3"/>
  <c r="M604" i="3"/>
  <c r="M605" i="3"/>
  <c r="M606" i="3"/>
  <c r="M607" i="3"/>
  <c r="M608" i="3"/>
  <c r="M609" i="3"/>
  <c r="M610" i="3"/>
  <c r="M611" i="3"/>
  <c r="M612" i="3"/>
  <c r="M613" i="3"/>
  <c r="M614" i="3"/>
  <c r="M615" i="3"/>
  <c r="M616" i="3"/>
  <c r="M617" i="3"/>
  <c r="M618" i="3"/>
  <c r="M619" i="3"/>
  <c r="M620" i="3"/>
  <c r="M621" i="3"/>
  <c r="M622" i="3"/>
  <c r="M623" i="3"/>
  <c r="M624" i="3"/>
  <c r="M625" i="3"/>
  <c r="M626" i="3"/>
  <c r="M627" i="3"/>
  <c r="M628" i="3"/>
  <c r="M629" i="3"/>
  <c r="M630" i="3"/>
  <c r="M631" i="3"/>
  <c r="M632" i="3"/>
  <c r="M633" i="3"/>
  <c r="M634" i="3"/>
  <c r="M635" i="3"/>
  <c r="M636" i="3"/>
  <c r="M637" i="3"/>
  <c r="M638" i="3"/>
  <c r="M639" i="3"/>
  <c r="M640" i="3"/>
  <c r="M641" i="3"/>
  <c r="M642" i="3"/>
  <c r="M643" i="3"/>
  <c r="M644" i="3"/>
  <c r="M645" i="3"/>
  <c r="M646" i="3"/>
  <c r="M647" i="3"/>
  <c r="M648" i="3"/>
  <c r="M649" i="3"/>
  <c r="M650" i="3"/>
  <c r="M651" i="3"/>
  <c r="M652" i="3"/>
  <c r="M653" i="3"/>
  <c r="M654" i="3"/>
  <c r="M655" i="3"/>
  <c r="M656" i="3"/>
  <c r="M657" i="3"/>
  <c r="M658" i="3"/>
  <c r="M659" i="3"/>
  <c r="M660" i="3"/>
  <c r="M661" i="3"/>
  <c r="M662" i="3"/>
  <c r="M663" i="3"/>
  <c r="M664" i="3"/>
  <c r="M665" i="3"/>
  <c r="M666" i="3"/>
  <c r="M667" i="3"/>
  <c r="M668" i="3"/>
  <c r="M669" i="3"/>
  <c r="M670" i="3"/>
  <c r="M671" i="3"/>
  <c r="M672" i="3"/>
  <c r="M673" i="3"/>
  <c r="M674" i="3"/>
  <c r="M675" i="3"/>
  <c r="M676" i="3"/>
  <c r="M677" i="3"/>
  <c r="M678" i="3"/>
  <c r="M679" i="3"/>
  <c r="M680" i="3"/>
  <c r="M681" i="3"/>
  <c r="M682" i="3"/>
  <c r="M683" i="3"/>
  <c r="M684" i="3"/>
  <c r="M685" i="3"/>
  <c r="M686" i="3"/>
  <c r="M687" i="3"/>
  <c r="M688" i="3"/>
  <c r="M689" i="3"/>
  <c r="M690" i="3"/>
  <c r="M691" i="3"/>
  <c r="M692" i="3"/>
  <c r="M693" i="3"/>
  <c r="M694" i="3"/>
  <c r="M695" i="3"/>
  <c r="M696" i="3"/>
  <c r="M697" i="3"/>
  <c r="M698" i="3"/>
  <c r="M699" i="3"/>
  <c r="M700" i="3"/>
  <c r="M701" i="3"/>
  <c r="M702" i="3"/>
  <c r="M703" i="3"/>
  <c r="M704" i="3"/>
  <c r="M705" i="3"/>
  <c r="M706" i="3"/>
  <c r="M707" i="3"/>
  <c r="M708" i="3"/>
  <c r="M709" i="3"/>
  <c r="M710" i="3"/>
  <c r="M711" i="3"/>
  <c r="M712" i="3"/>
  <c r="M713" i="3"/>
  <c r="M714" i="3"/>
  <c r="M715" i="3"/>
  <c r="M716" i="3"/>
  <c r="M717" i="3"/>
  <c r="M718" i="3"/>
  <c r="M719" i="3"/>
  <c r="M720" i="3"/>
  <c r="M721" i="3"/>
  <c r="M722" i="3"/>
  <c r="M723" i="3"/>
  <c r="M724" i="3"/>
  <c r="M725" i="3"/>
  <c r="M726" i="3"/>
  <c r="M727" i="3"/>
  <c r="M728" i="3"/>
  <c r="M729" i="3"/>
  <c r="M730" i="3"/>
  <c r="M731" i="3"/>
  <c r="M732" i="3"/>
  <c r="M733" i="3"/>
  <c r="M734" i="3"/>
  <c r="M735" i="3"/>
  <c r="M736" i="3"/>
  <c r="M737" i="3"/>
  <c r="M738" i="3"/>
  <c r="M739" i="3"/>
  <c r="M740" i="3"/>
  <c r="M741" i="3"/>
  <c r="M742" i="3"/>
  <c r="M743" i="3"/>
  <c r="M744" i="3"/>
  <c r="M745" i="3"/>
  <c r="M746" i="3"/>
  <c r="M747" i="3"/>
  <c r="M748" i="3"/>
  <c r="M749" i="3"/>
  <c r="M750" i="3"/>
  <c r="M751" i="3"/>
  <c r="M752" i="3"/>
  <c r="M753" i="3"/>
  <c r="M754" i="3"/>
  <c r="M755" i="3"/>
  <c r="M756" i="3"/>
  <c r="M757" i="3"/>
  <c r="M758" i="3"/>
  <c r="M759" i="3"/>
  <c r="M760" i="3"/>
  <c r="M761" i="3"/>
  <c r="M762" i="3"/>
  <c r="M763" i="3"/>
  <c r="M764" i="3"/>
  <c r="M765" i="3"/>
  <c r="M766" i="3"/>
  <c r="M767" i="3"/>
  <c r="M768" i="3"/>
  <c r="M769" i="3"/>
  <c r="M770" i="3"/>
  <c r="M771" i="3"/>
  <c r="M772" i="3"/>
  <c r="M773" i="3"/>
  <c r="M774" i="3"/>
  <c r="M775" i="3"/>
  <c r="M776" i="3"/>
  <c r="M777" i="3"/>
  <c r="M778" i="3"/>
  <c r="M779" i="3"/>
  <c r="M780" i="3"/>
  <c r="M781" i="3"/>
  <c r="M782" i="3"/>
  <c r="M783" i="3"/>
  <c r="M784" i="3"/>
  <c r="M785" i="3"/>
  <c r="M786" i="3"/>
  <c r="M787" i="3"/>
  <c r="M788" i="3"/>
  <c r="M789" i="3"/>
  <c r="M790" i="3"/>
  <c r="M791" i="3"/>
  <c r="M792" i="3"/>
  <c r="M793" i="3"/>
  <c r="M794" i="3"/>
  <c r="M795" i="3"/>
  <c r="M796" i="3"/>
  <c r="M797" i="3"/>
  <c r="M798" i="3"/>
  <c r="M799" i="3"/>
  <c r="M800" i="3"/>
  <c r="M801" i="3"/>
  <c r="M802" i="3"/>
  <c r="M803" i="3"/>
  <c r="M804" i="3"/>
  <c r="M805" i="3"/>
  <c r="M806" i="3"/>
  <c r="M807" i="3"/>
  <c r="M808" i="3"/>
  <c r="M809" i="3"/>
  <c r="M810" i="3"/>
  <c r="M811" i="3"/>
  <c r="M812" i="3"/>
  <c r="M813" i="3"/>
  <c r="M814" i="3"/>
  <c r="M815" i="3"/>
  <c r="M816" i="3"/>
  <c r="M817" i="3"/>
  <c r="M818" i="3"/>
  <c r="M819" i="3"/>
  <c r="M820" i="3"/>
  <c r="M821" i="3"/>
  <c r="M822" i="3"/>
  <c r="M823" i="3"/>
  <c r="M824" i="3"/>
  <c r="M825" i="3"/>
  <c r="M826" i="3"/>
  <c r="M827" i="3"/>
  <c r="M828" i="3"/>
  <c r="M829" i="3"/>
  <c r="M830" i="3"/>
  <c r="M831" i="3"/>
  <c r="M832" i="3"/>
  <c r="M833" i="3"/>
  <c r="M834" i="3"/>
  <c r="M835" i="3"/>
  <c r="M836" i="3"/>
  <c r="M837" i="3"/>
  <c r="M838" i="3"/>
  <c r="M839" i="3"/>
  <c r="M840" i="3"/>
  <c r="M841" i="3"/>
  <c r="M842" i="3"/>
  <c r="M843" i="3"/>
  <c r="M844" i="3"/>
  <c r="M845" i="3"/>
  <c r="M846" i="3"/>
  <c r="M847" i="3"/>
  <c r="M848" i="3"/>
  <c r="M849" i="3"/>
  <c r="M850" i="3"/>
  <c r="M851" i="3"/>
  <c r="M852" i="3"/>
  <c r="M853" i="3"/>
  <c r="M854" i="3"/>
  <c r="M855" i="3"/>
  <c r="M856" i="3"/>
  <c r="M857" i="3"/>
  <c r="M858" i="3"/>
  <c r="M859" i="3"/>
  <c r="M860" i="3"/>
  <c r="M861" i="3"/>
  <c r="M862" i="3"/>
  <c r="M863" i="3"/>
  <c r="M864" i="3"/>
  <c r="M865" i="3"/>
  <c r="M866" i="3"/>
  <c r="M867" i="3"/>
  <c r="M868" i="3"/>
  <c r="M869" i="3"/>
  <c r="M870" i="3"/>
  <c r="M871" i="3"/>
  <c r="M872" i="3"/>
  <c r="M873" i="3"/>
  <c r="M874" i="3"/>
  <c r="M875" i="3"/>
  <c r="M876" i="3"/>
  <c r="M877" i="3"/>
  <c r="M878" i="3"/>
  <c r="M879" i="3"/>
  <c r="M880" i="3"/>
  <c r="M881" i="3"/>
  <c r="M882" i="3"/>
  <c r="M883" i="3"/>
  <c r="M884" i="3"/>
  <c r="M885" i="3"/>
  <c r="M886" i="3"/>
  <c r="M887" i="3"/>
  <c r="M888" i="3"/>
  <c r="M889" i="3"/>
  <c r="M890" i="3"/>
  <c r="M891" i="3"/>
  <c r="M89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M911" i="3"/>
  <c r="M912" i="3"/>
  <c r="M913" i="3"/>
  <c r="M914" i="3"/>
  <c r="M915" i="3"/>
  <c r="M916" i="3"/>
  <c r="M917" i="3"/>
  <c r="M918" i="3"/>
  <c r="M919" i="3"/>
  <c r="M920" i="3"/>
  <c r="M921" i="3"/>
  <c r="M922" i="3"/>
  <c r="M923" i="3"/>
  <c r="M924" i="3"/>
  <c r="M925" i="3"/>
  <c r="M926" i="3"/>
  <c r="M927" i="3"/>
  <c r="M928" i="3"/>
  <c r="M929" i="3"/>
  <c r="M930" i="3"/>
  <c r="M931" i="3"/>
  <c r="M932" i="3"/>
  <c r="M933" i="3"/>
  <c r="M934" i="3"/>
  <c r="M935" i="3"/>
  <c r="M936" i="3"/>
  <c r="M937" i="3"/>
  <c r="M938" i="3"/>
  <c r="M939" i="3"/>
  <c r="M940" i="3"/>
  <c r="M941" i="3"/>
  <c r="M942" i="3"/>
  <c r="M943" i="3"/>
  <c r="M944" i="3"/>
  <c r="M945" i="3"/>
  <c r="M946" i="3"/>
  <c r="M947" i="3"/>
  <c r="M948" i="3"/>
  <c r="M949" i="3"/>
  <c r="M950" i="3"/>
  <c r="M951" i="3"/>
  <c r="M952" i="3"/>
  <c r="M953" i="3"/>
  <c r="M954" i="3"/>
  <c r="M955" i="3"/>
  <c r="M956" i="3"/>
  <c r="M957" i="3"/>
  <c r="M958" i="3"/>
  <c r="M959" i="3"/>
  <c r="M960" i="3"/>
  <c r="M961" i="3"/>
  <c r="M962" i="3"/>
  <c r="M963" i="3"/>
  <c r="M964" i="3"/>
  <c r="M965" i="3"/>
  <c r="M966" i="3"/>
  <c r="M967" i="3"/>
  <c r="M968" i="3"/>
  <c r="M969" i="3"/>
  <c r="M970" i="3"/>
  <c r="M971" i="3"/>
  <c r="M972" i="3"/>
  <c r="M973" i="3"/>
  <c r="M974" i="3"/>
  <c r="M975" i="3"/>
  <c r="M976" i="3"/>
  <c r="M977" i="3"/>
  <c r="M978" i="3"/>
  <c r="M979" i="3"/>
  <c r="M980" i="3"/>
  <c r="M981" i="3"/>
  <c r="M982" i="3"/>
  <c r="M983" i="3"/>
  <c r="M984" i="3"/>
  <c r="M985" i="3"/>
  <c r="M986" i="3"/>
  <c r="M987" i="3"/>
  <c r="M988" i="3"/>
  <c r="M989" i="3"/>
  <c r="M990" i="3"/>
  <c r="M991" i="3"/>
  <c r="M992" i="3"/>
  <c r="M993" i="3"/>
  <c r="M994" i="3"/>
  <c r="M995" i="3"/>
  <c r="M996" i="3"/>
  <c r="M997" i="3"/>
  <c r="M998" i="3"/>
  <c r="M999" i="3"/>
  <c r="M1000" i="3"/>
  <c r="M1001" i="3"/>
  <c r="M1002" i="3"/>
  <c r="M1003" i="3"/>
  <c r="M1004" i="3"/>
  <c r="M1005" i="3"/>
  <c r="M1006" i="3"/>
  <c r="M1007" i="3"/>
  <c r="M1008" i="3"/>
  <c r="M1009" i="3"/>
  <c r="M1010" i="3"/>
  <c r="M1011" i="3"/>
  <c r="M1012" i="3"/>
  <c r="M1013" i="3"/>
  <c r="M1014" i="3"/>
  <c r="M1015" i="3"/>
  <c r="M1016" i="3"/>
  <c r="M1017" i="3"/>
  <c r="M1018" i="3"/>
  <c r="M1019" i="3"/>
  <c r="M1020" i="3"/>
  <c r="M1021" i="3"/>
  <c r="M1022" i="3"/>
  <c r="M1023" i="3"/>
  <c r="M1024" i="3"/>
  <c r="M1025" i="3"/>
  <c r="M1026" i="3"/>
  <c r="M1027" i="3"/>
  <c r="M1028" i="3"/>
  <c r="M1029" i="3"/>
  <c r="M1030" i="3"/>
  <c r="M1031" i="3"/>
  <c r="M1032" i="3"/>
  <c r="M1033" i="3"/>
  <c r="M1034" i="3"/>
  <c r="M1035" i="3"/>
  <c r="M1036" i="3"/>
  <c r="M1037" i="3"/>
  <c r="M1038" i="3"/>
  <c r="M1039" i="3"/>
  <c r="M1040" i="3"/>
  <c r="M1041" i="3"/>
  <c r="M1042" i="3"/>
  <c r="M1043" i="3"/>
  <c r="M1044" i="3"/>
  <c r="M1045" i="3"/>
  <c r="M1046" i="3"/>
  <c r="M1047" i="3"/>
  <c r="M1048" i="3"/>
  <c r="M1049" i="3"/>
  <c r="M1050" i="3"/>
  <c r="M1051" i="3"/>
  <c r="M1052" i="3"/>
  <c r="M1053" i="3"/>
  <c r="M1054" i="3"/>
  <c r="M1055" i="3"/>
  <c r="M1056" i="3"/>
  <c r="M1057" i="3"/>
  <c r="M1058" i="3"/>
  <c r="M1059" i="3"/>
  <c r="M1060" i="3"/>
  <c r="M1061" i="3"/>
  <c r="M1062" i="3"/>
  <c r="M1063" i="3"/>
  <c r="M1064" i="3"/>
  <c r="M1065" i="3"/>
  <c r="M1066" i="3"/>
  <c r="M1067" i="3"/>
  <c r="M1068" i="3"/>
  <c r="M1069" i="3"/>
  <c r="M1070" i="3"/>
  <c r="M1071" i="3"/>
  <c r="M1072" i="3"/>
  <c r="M1073" i="3"/>
  <c r="M1074" i="3"/>
  <c r="M1075" i="3"/>
  <c r="M1076" i="3"/>
  <c r="M1077" i="3"/>
  <c r="M1078" i="3"/>
  <c r="M1079" i="3"/>
  <c r="M1080" i="3"/>
  <c r="M1081" i="3"/>
  <c r="M1082" i="3"/>
  <c r="M1083" i="3"/>
  <c r="M1084" i="3"/>
  <c r="M1085" i="3"/>
  <c r="M1086" i="3"/>
  <c r="M1087" i="3"/>
  <c r="M1088" i="3"/>
  <c r="M1089" i="3"/>
  <c r="M1090" i="3"/>
  <c r="M1091" i="3"/>
  <c r="M1092" i="3"/>
  <c r="M1093" i="3"/>
  <c r="M1094" i="3"/>
  <c r="M1095" i="3"/>
  <c r="M1096" i="3"/>
  <c r="M1097" i="3"/>
  <c r="M1098" i="3"/>
  <c r="M1099" i="3"/>
  <c r="M1100" i="3"/>
  <c r="M1101" i="3"/>
  <c r="M1102" i="3"/>
  <c r="M1103" i="3"/>
  <c r="M1104" i="3"/>
  <c r="M1105" i="3"/>
  <c r="M1106" i="3"/>
  <c r="M1107" i="3"/>
  <c r="M1108" i="3"/>
  <c r="M1109" i="3"/>
  <c r="M1110" i="3"/>
  <c r="M1111" i="3"/>
  <c r="M1112" i="3"/>
  <c r="M1113" i="3"/>
  <c r="M1114" i="3"/>
  <c r="M1115" i="3"/>
  <c r="M1116" i="3"/>
  <c r="M1117" i="3"/>
  <c r="M1118" i="3"/>
  <c r="M1119" i="3"/>
  <c r="M1120" i="3"/>
  <c r="M1121" i="3"/>
  <c r="M1122" i="3"/>
  <c r="M1123" i="3"/>
  <c r="M1124" i="3"/>
  <c r="M1125" i="3"/>
  <c r="M1126" i="3"/>
  <c r="M1127" i="3"/>
  <c r="M1128" i="3"/>
  <c r="M1129" i="3"/>
  <c r="M1130" i="3"/>
  <c r="M1131" i="3"/>
  <c r="M1132" i="3"/>
  <c r="M1133" i="3"/>
  <c r="M1134" i="3"/>
  <c r="M1135" i="3"/>
  <c r="M1136" i="3"/>
  <c r="M1137" i="3"/>
  <c r="M1138" i="3"/>
  <c r="M1139" i="3"/>
  <c r="M1140" i="3"/>
  <c r="M1141" i="3"/>
  <c r="M1142" i="3"/>
  <c r="M1143" i="3"/>
  <c r="M1144" i="3"/>
  <c r="M1145" i="3"/>
  <c r="M1146" i="3"/>
  <c r="M1147" i="3"/>
  <c r="M1148" i="3"/>
  <c r="M1149" i="3"/>
  <c r="M1150" i="3"/>
  <c r="M1151" i="3"/>
  <c r="M1152" i="3"/>
  <c r="M1153" i="3"/>
  <c r="M1154" i="3"/>
  <c r="M1155" i="3"/>
  <c r="M1156" i="3"/>
  <c r="M1157" i="3"/>
  <c r="M1158" i="3"/>
  <c r="M1159" i="3"/>
  <c r="M1160" i="3"/>
  <c r="M1161" i="3"/>
  <c r="M1162" i="3"/>
  <c r="M1163" i="3"/>
  <c r="M1164" i="3"/>
  <c r="M1165" i="3"/>
  <c r="M1166" i="3"/>
  <c r="M1167" i="3"/>
  <c r="M1168" i="3"/>
  <c r="M1169" i="3"/>
  <c r="M1170" i="3"/>
  <c r="M1171" i="3"/>
  <c r="M1172" i="3"/>
  <c r="M1173" i="3"/>
  <c r="M1174" i="3"/>
  <c r="M1175" i="3"/>
  <c r="M1176" i="3"/>
  <c r="M1177" i="3"/>
  <c r="M1178" i="3"/>
  <c r="M1179" i="3"/>
  <c r="M1180" i="3"/>
  <c r="M1181" i="3"/>
  <c r="M1182" i="3"/>
  <c r="M1183" i="3"/>
  <c r="M1184" i="3"/>
  <c r="M1185" i="3"/>
  <c r="M1186" i="3"/>
  <c r="M1187" i="3"/>
  <c r="M1188" i="3"/>
  <c r="M1189" i="3"/>
  <c r="M1190" i="3"/>
  <c r="M1191" i="3"/>
  <c r="M1192" i="3"/>
  <c r="M1193" i="3"/>
  <c r="M1194" i="3"/>
  <c r="M1195" i="3"/>
  <c r="M1196" i="3"/>
  <c r="M1197" i="3"/>
  <c r="M1198" i="3"/>
  <c r="M1199" i="3"/>
  <c r="M1200" i="3"/>
  <c r="M1201" i="3"/>
  <c r="M1202" i="3"/>
  <c r="M1203" i="3"/>
  <c r="M1204" i="3"/>
  <c r="M1205" i="3"/>
  <c r="M1206" i="3"/>
  <c r="M1207" i="3"/>
  <c r="M1208" i="3"/>
  <c r="M1209" i="3"/>
  <c r="M1210" i="3"/>
  <c r="M1211" i="3"/>
  <c r="M1212" i="3"/>
  <c r="M1213" i="3"/>
  <c r="M1214" i="3"/>
  <c r="M1215" i="3"/>
  <c r="M1216" i="3"/>
  <c r="M1217" i="3"/>
  <c r="M1218" i="3"/>
  <c r="M1219" i="3"/>
  <c r="M1220" i="3"/>
  <c r="M1221" i="3"/>
  <c r="M1222" i="3"/>
  <c r="M1223" i="3"/>
  <c r="M1224" i="3"/>
  <c r="M1225" i="3"/>
  <c r="M1226" i="3"/>
  <c r="M1227" i="3"/>
  <c r="M1228" i="3"/>
  <c r="M1229" i="3"/>
  <c r="M1230" i="3"/>
  <c r="M1231" i="3"/>
  <c r="M1232" i="3"/>
  <c r="M1233" i="3"/>
  <c r="M1234" i="3"/>
  <c r="M1235" i="3"/>
  <c r="M1236" i="3"/>
  <c r="M1237" i="3"/>
  <c r="M1238" i="3"/>
  <c r="M1239" i="3"/>
  <c r="M1240" i="3"/>
  <c r="M1241" i="3"/>
  <c r="M1242" i="3"/>
  <c r="M1243" i="3"/>
  <c r="M1244" i="3"/>
  <c r="M1245" i="3"/>
  <c r="M1246" i="3"/>
  <c r="M1247" i="3"/>
  <c r="M1248" i="3"/>
  <c r="M1249" i="3"/>
  <c r="M1250" i="3"/>
  <c r="M1251" i="3"/>
  <c r="M1252" i="3"/>
  <c r="M1253" i="3"/>
  <c r="M1254" i="3"/>
  <c r="M1255" i="3"/>
  <c r="M1256" i="3"/>
  <c r="M1257" i="3"/>
  <c r="M1258" i="3"/>
  <c r="M1259" i="3"/>
  <c r="M1260" i="3"/>
  <c r="M1261" i="3"/>
  <c r="M1262" i="3"/>
  <c r="M1263" i="3"/>
  <c r="M1264" i="3"/>
  <c r="M1265" i="3"/>
  <c r="M1266" i="3"/>
  <c r="M1267" i="3"/>
  <c r="M1268" i="3"/>
  <c r="M1269" i="3"/>
  <c r="M1270" i="3"/>
  <c r="M1271" i="3"/>
  <c r="M1272" i="3"/>
  <c r="M1273" i="3"/>
  <c r="M1274" i="3"/>
  <c r="M1275" i="3"/>
  <c r="M1276" i="3"/>
  <c r="M1277" i="3"/>
  <c r="M1278" i="3"/>
  <c r="M1279" i="3"/>
  <c r="M1280" i="3"/>
  <c r="M1281" i="3"/>
  <c r="M1282" i="3"/>
  <c r="M1283" i="3"/>
  <c r="M1284" i="3"/>
  <c r="M1285" i="3"/>
  <c r="M1286" i="3"/>
  <c r="M1287" i="3"/>
  <c r="M1288" i="3"/>
  <c r="M1289" i="3"/>
  <c r="M1290" i="3"/>
  <c r="M1291" i="3"/>
  <c r="M1292" i="3"/>
  <c r="M1293" i="3"/>
  <c r="M1294" i="3"/>
  <c r="M1295" i="3"/>
  <c r="M1296" i="3"/>
  <c r="M1297" i="3"/>
  <c r="M1298" i="3"/>
  <c r="M1299" i="3"/>
  <c r="M1300" i="3"/>
  <c r="M1301" i="3"/>
  <c r="M1302" i="3"/>
  <c r="M1303" i="3"/>
  <c r="M1304" i="3"/>
  <c r="M1305" i="3"/>
  <c r="M1306" i="3"/>
  <c r="M1307" i="3"/>
  <c r="M1308" i="3"/>
  <c r="M1309" i="3"/>
  <c r="M1310" i="3"/>
  <c r="M1311" i="3"/>
  <c r="M1312" i="3"/>
  <c r="M1313" i="3"/>
  <c r="M1314" i="3"/>
  <c r="M1315" i="3"/>
  <c r="M1316" i="3"/>
  <c r="M1317" i="3"/>
  <c r="M1318" i="3"/>
  <c r="M1319" i="3"/>
  <c r="M1320" i="3"/>
  <c r="M1321" i="3"/>
  <c r="M1322" i="3"/>
  <c r="M1323" i="3"/>
  <c r="M1324" i="3"/>
  <c r="M1325" i="3"/>
  <c r="M1326" i="3"/>
  <c r="M1327" i="3"/>
  <c r="M1328" i="3"/>
  <c r="M1329" i="3"/>
  <c r="M1330" i="3"/>
  <c r="M1331" i="3"/>
  <c r="M1332" i="3"/>
  <c r="M1333" i="3"/>
  <c r="M1334" i="3"/>
  <c r="M1335" i="3"/>
  <c r="M1336" i="3"/>
  <c r="M1337" i="3"/>
  <c r="M1338" i="3"/>
  <c r="M1339" i="3"/>
  <c r="M1340" i="3"/>
  <c r="M1341" i="3"/>
  <c r="M1342" i="3"/>
  <c r="M1343" i="3"/>
  <c r="M1344" i="3"/>
  <c r="M1345" i="3"/>
  <c r="M1346" i="3"/>
  <c r="M1347" i="3"/>
  <c r="M1348" i="3"/>
  <c r="M1349" i="3"/>
  <c r="M1350" i="3"/>
  <c r="M1351" i="3"/>
  <c r="M1352" i="3"/>
  <c r="M1353" i="3"/>
  <c r="M1354" i="3"/>
  <c r="M1355" i="3"/>
  <c r="M1356" i="3"/>
  <c r="M1357" i="3"/>
  <c r="M1358" i="3"/>
  <c r="M1359" i="3"/>
  <c r="M1360" i="3"/>
  <c r="M1361" i="3"/>
  <c r="M1362" i="3"/>
  <c r="M1363" i="3"/>
  <c r="M1364" i="3"/>
  <c r="M1365" i="3"/>
  <c r="M1366" i="3"/>
  <c r="M1367" i="3"/>
  <c r="M1368" i="3"/>
  <c r="M1369" i="3"/>
  <c r="M1370" i="3"/>
  <c r="M1371" i="3"/>
  <c r="M1372" i="3"/>
  <c r="M1373" i="3"/>
  <c r="M1374" i="3"/>
  <c r="M1375" i="3"/>
  <c r="M1376" i="3"/>
  <c r="M1377" i="3"/>
  <c r="M1378" i="3"/>
  <c r="M1379" i="3"/>
  <c r="M1380" i="3"/>
  <c r="M1381" i="3"/>
  <c r="M1382" i="3"/>
  <c r="M1383" i="3"/>
  <c r="M1384" i="3"/>
  <c r="M1385" i="3"/>
  <c r="M1386" i="3"/>
  <c r="M1387" i="3"/>
  <c r="M1388" i="3"/>
  <c r="M1389" i="3"/>
  <c r="M1390" i="3"/>
  <c r="M1391" i="3"/>
  <c r="M1392" i="3"/>
  <c r="M1393" i="3"/>
  <c r="M1394" i="3"/>
  <c r="M1395" i="3"/>
  <c r="M1396" i="3"/>
  <c r="M1397" i="3"/>
  <c r="M1398" i="3"/>
  <c r="M1399" i="3"/>
  <c r="M1400" i="3"/>
  <c r="M1401" i="3"/>
  <c r="M1402" i="3"/>
  <c r="M1403" i="3"/>
  <c r="M1404" i="3"/>
  <c r="M1405" i="3"/>
  <c r="M1406" i="3"/>
  <c r="M1407" i="3"/>
  <c r="M1408" i="3"/>
  <c r="M1409" i="3"/>
  <c r="M1410" i="3"/>
  <c r="M1411" i="3"/>
  <c r="M1412" i="3"/>
  <c r="M1413" i="3"/>
  <c r="M1414" i="3"/>
  <c r="M1415" i="3"/>
  <c r="M1416" i="3"/>
  <c r="M1417" i="3"/>
  <c r="M1418" i="3"/>
  <c r="M1419" i="3"/>
  <c r="M1420" i="3"/>
  <c r="M1421" i="3"/>
  <c r="M1422" i="3"/>
  <c r="M1423" i="3"/>
  <c r="M1424" i="3"/>
  <c r="M1425" i="3"/>
  <c r="M1426" i="3"/>
  <c r="M1427" i="3"/>
  <c r="M1428" i="3"/>
  <c r="M1429" i="3"/>
  <c r="M1430" i="3"/>
  <c r="M1431" i="3"/>
  <c r="M1432" i="3"/>
  <c r="M1433" i="3"/>
  <c r="M1434" i="3"/>
  <c r="M1435" i="3"/>
  <c r="M1436" i="3"/>
  <c r="M1437" i="3"/>
  <c r="M1438" i="3"/>
  <c r="M1439" i="3"/>
  <c r="M1440" i="3"/>
  <c r="M1441" i="3"/>
  <c r="M1442" i="3"/>
  <c r="M1443" i="3"/>
  <c r="M1444" i="3"/>
  <c r="M1445" i="3"/>
  <c r="M1446" i="3"/>
  <c r="M1447" i="3"/>
  <c r="M1448" i="3"/>
  <c r="M1449" i="3"/>
  <c r="M1450" i="3"/>
  <c r="M1451" i="3"/>
  <c r="M1452" i="3"/>
  <c r="M1453" i="3"/>
  <c r="M1454" i="3"/>
  <c r="M1455" i="3"/>
  <c r="M1456" i="3"/>
  <c r="M1457" i="3"/>
  <c r="M1458" i="3"/>
  <c r="M1459" i="3"/>
  <c r="M1460" i="3"/>
  <c r="M1461" i="3"/>
  <c r="M1462" i="3"/>
  <c r="M1463" i="3"/>
  <c r="M1464" i="3"/>
  <c r="M1465" i="3"/>
  <c r="M1466" i="3"/>
  <c r="M1467" i="3"/>
  <c r="M1468" i="3"/>
  <c r="M1469" i="3"/>
  <c r="M1470" i="3"/>
  <c r="M1471" i="3"/>
  <c r="M1472" i="3"/>
  <c r="M1473" i="3"/>
  <c r="M1474" i="3"/>
  <c r="M1475" i="3"/>
  <c r="M1476" i="3"/>
  <c r="M1477" i="3"/>
  <c r="M1478" i="3"/>
  <c r="M1479" i="3"/>
  <c r="M1480" i="3"/>
  <c r="M1481" i="3"/>
  <c r="M1482" i="3"/>
  <c r="M1483" i="3"/>
  <c r="M1484" i="3"/>
  <c r="M1485" i="3"/>
  <c r="M1486" i="3"/>
  <c r="M1487" i="3"/>
  <c r="M1488" i="3"/>
  <c r="M1489" i="3"/>
  <c r="M1490" i="3"/>
  <c r="M1491" i="3"/>
  <c r="M1492" i="3"/>
  <c r="M1493" i="3"/>
  <c r="M1494" i="3"/>
  <c r="M1495" i="3"/>
  <c r="M1496" i="3"/>
  <c r="M1497" i="3"/>
  <c r="M1498" i="3"/>
  <c r="M1499" i="3"/>
  <c r="M1500" i="3"/>
  <c r="M1501" i="3"/>
  <c r="M1502" i="3"/>
  <c r="M1503" i="3"/>
  <c r="M1504" i="3"/>
  <c r="M1505" i="3"/>
  <c r="M1506" i="3"/>
  <c r="M1507" i="3"/>
  <c r="M1508" i="3"/>
  <c r="M1509" i="3"/>
  <c r="M1510" i="3"/>
  <c r="M1511" i="3"/>
  <c r="M1512" i="3"/>
  <c r="M1513" i="3"/>
  <c r="M1514" i="3"/>
  <c r="M1515" i="3"/>
  <c r="M1516" i="3"/>
  <c r="M1517" i="3"/>
  <c r="M1518" i="3"/>
  <c r="M1519" i="3"/>
  <c r="M1520" i="3"/>
  <c r="M1521" i="3"/>
  <c r="M1522" i="3"/>
  <c r="M1523" i="3"/>
  <c r="M1524" i="3"/>
  <c r="M1525" i="3"/>
  <c r="M1526" i="3"/>
  <c r="M1527" i="3"/>
  <c r="M1528" i="3"/>
  <c r="M1529" i="3"/>
  <c r="M1530" i="3"/>
  <c r="M1531" i="3"/>
  <c r="M1532" i="3"/>
  <c r="M1533" i="3"/>
  <c r="M1534" i="3"/>
  <c r="M1535" i="3"/>
  <c r="M1536" i="3"/>
  <c r="M1537" i="3"/>
  <c r="M1538" i="3"/>
  <c r="M1539" i="3"/>
  <c r="M1540" i="3"/>
  <c r="M1541" i="3"/>
  <c r="M1542" i="3"/>
  <c r="M1543" i="3"/>
  <c r="M1544" i="3"/>
  <c r="M1545" i="3"/>
  <c r="M1546" i="3"/>
  <c r="M1547" i="3"/>
  <c r="M1548" i="3"/>
  <c r="M1549" i="3"/>
  <c r="M1550" i="3"/>
  <c r="M1551" i="3"/>
  <c r="M1552" i="3"/>
  <c r="M1553" i="3"/>
  <c r="M1554" i="3"/>
  <c r="M1555" i="3"/>
  <c r="M1556" i="3"/>
  <c r="M1557" i="3"/>
  <c r="M1558" i="3"/>
  <c r="M1559" i="3"/>
  <c r="M1560" i="3"/>
  <c r="M1561" i="3"/>
  <c r="M1562" i="3"/>
  <c r="M1563" i="3"/>
  <c r="M1564" i="3"/>
  <c r="M1565" i="3"/>
  <c r="M1566" i="3"/>
  <c r="M1567" i="3"/>
  <c r="M1568" i="3"/>
  <c r="M1569" i="3"/>
  <c r="M1570" i="3"/>
  <c r="M1571" i="3"/>
  <c r="M1572" i="3"/>
  <c r="M1573" i="3"/>
  <c r="M1574" i="3"/>
  <c r="M1575" i="3"/>
  <c r="M1576" i="3"/>
  <c r="M1577" i="3"/>
  <c r="M1578" i="3"/>
  <c r="M1579" i="3"/>
  <c r="M1580" i="3"/>
  <c r="M1581" i="3"/>
  <c r="M1582" i="3"/>
  <c r="M1583" i="3"/>
  <c r="M1584" i="3"/>
  <c r="M1585" i="3"/>
  <c r="M1586" i="3"/>
  <c r="M1587" i="3"/>
  <c r="M1588" i="3"/>
  <c r="M1589" i="3"/>
  <c r="M1590" i="3"/>
  <c r="M1591" i="3"/>
  <c r="M1592" i="3"/>
  <c r="M1593" i="3"/>
  <c r="M1594" i="3"/>
  <c r="M1595" i="3"/>
  <c r="M1596" i="3"/>
  <c r="M1597" i="3"/>
  <c r="M1598" i="3"/>
  <c r="M1599" i="3"/>
  <c r="M1600" i="3"/>
  <c r="M1601" i="3"/>
  <c r="M1602" i="3"/>
  <c r="M1603" i="3"/>
  <c r="M1604" i="3"/>
  <c r="M1605" i="3"/>
  <c r="M1606" i="3"/>
  <c r="M1607" i="3"/>
  <c r="M1608" i="3"/>
  <c r="M1609" i="3"/>
  <c r="M1610" i="3"/>
  <c r="M1611" i="3"/>
  <c r="M1612" i="3"/>
  <c r="M1613" i="3"/>
  <c r="M1614" i="3"/>
  <c r="M1615" i="3"/>
  <c r="M1616" i="3"/>
  <c r="M1617" i="3"/>
  <c r="M1618" i="3"/>
  <c r="M1619" i="3"/>
  <c r="M1620" i="3"/>
  <c r="M1621" i="3"/>
  <c r="M1622" i="3"/>
  <c r="M1623" i="3"/>
  <c r="M1624" i="3"/>
  <c r="M1625" i="3"/>
  <c r="M1626" i="3"/>
  <c r="M1627" i="3"/>
  <c r="M1628" i="3"/>
  <c r="M1629" i="3"/>
  <c r="M1630" i="3"/>
  <c r="M1631" i="3"/>
  <c r="M1632" i="3"/>
  <c r="M1633" i="3"/>
  <c r="M1634" i="3"/>
  <c r="M1635" i="3"/>
  <c r="M1636" i="3"/>
  <c r="M1637" i="3"/>
  <c r="M1638" i="3"/>
  <c r="M1639" i="3"/>
  <c r="M1640" i="3"/>
  <c r="M1641" i="3"/>
  <c r="M1642" i="3"/>
  <c r="M1643" i="3"/>
  <c r="M1644" i="3"/>
  <c r="M1645" i="3"/>
  <c r="M1646" i="3"/>
  <c r="M1647" i="3"/>
  <c r="M1648" i="3"/>
  <c r="M1649" i="3"/>
  <c r="M1650" i="3"/>
  <c r="M1651" i="3"/>
  <c r="M1652" i="3"/>
  <c r="M1653" i="3"/>
  <c r="M1654" i="3"/>
  <c r="M1655" i="3"/>
  <c r="M1656" i="3"/>
  <c r="M1657" i="3"/>
  <c r="M1658" i="3"/>
  <c r="M1659" i="3"/>
  <c r="M1660" i="3"/>
  <c r="M1661" i="3"/>
  <c r="M1662" i="3"/>
  <c r="M1663" i="3"/>
  <c r="M1664" i="3"/>
  <c r="M1665" i="3"/>
  <c r="M1666" i="3"/>
  <c r="M1667" i="3"/>
  <c r="M1668" i="3"/>
  <c r="M1669" i="3"/>
  <c r="M1670" i="3"/>
  <c r="M1671" i="3"/>
  <c r="M1672" i="3"/>
  <c r="M1673" i="3"/>
  <c r="M1674" i="3"/>
  <c r="M1675" i="3"/>
  <c r="M1676" i="3"/>
  <c r="M1677" i="3"/>
  <c r="M1678" i="3"/>
  <c r="M1679" i="3"/>
  <c r="M1680" i="3"/>
  <c r="M1681" i="3"/>
  <c r="M1682" i="3"/>
  <c r="M1683" i="3"/>
  <c r="M1684" i="3"/>
  <c r="M1685" i="3"/>
  <c r="M1686" i="3"/>
  <c r="M1687" i="3"/>
  <c r="M1688" i="3"/>
  <c r="M1689" i="3"/>
  <c r="M1690" i="3"/>
  <c r="M1691" i="3"/>
  <c r="M1692" i="3"/>
  <c r="M1693" i="3"/>
  <c r="M1694" i="3"/>
  <c r="M1695" i="3"/>
  <c r="M1696" i="3"/>
  <c r="M1697" i="3"/>
  <c r="M1698" i="3"/>
  <c r="M1699" i="3"/>
  <c r="M1700" i="3"/>
  <c r="M1701" i="3"/>
  <c r="M1702" i="3"/>
  <c r="M1703" i="3"/>
  <c r="M1704" i="3"/>
  <c r="M1705" i="3"/>
  <c r="M1706" i="3"/>
  <c r="M1707" i="3"/>
  <c r="M1708" i="3"/>
  <c r="M1709" i="3"/>
  <c r="M1710" i="3"/>
  <c r="M1711" i="3"/>
  <c r="M1712" i="3"/>
  <c r="M1713" i="3"/>
  <c r="M1714" i="3"/>
  <c r="M1715" i="3"/>
  <c r="M1716" i="3"/>
  <c r="M1717" i="3"/>
  <c r="M1718" i="3"/>
  <c r="M1719" i="3"/>
  <c r="M1720" i="3"/>
  <c r="M1721" i="3"/>
  <c r="M1722" i="3"/>
  <c r="M1723" i="3"/>
  <c r="M1724" i="3"/>
  <c r="M1725" i="3"/>
  <c r="M1726" i="3"/>
  <c r="M1727" i="3"/>
  <c r="M1728" i="3"/>
  <c r="M1729" i="3"/>
  <c r="M1730" i="3"/>
  <c r="M1731" i="3"/>
  <c r="M1732" i="3"/>
  <c r="M1733" i="3"/>
  <c r="M1734" i="3"/>
  <c r="M1735" i="3"/>
  <c r="M1736" i="3"/>
  <c r="M1737" i="3"/>
  <c r="M1738" i="3"/>
  <c r="M1739" i="3"/>
  <c r="M1740" i="3"/>
  <c r="M1741" i="3"/>
  <c r="M1742" i="3"/>
  <c r="M1743" i="3"/>
  <c r="M1744" i="3"/>
  <c r="M1745" i="3"/>
  <c r="M1746" i="3"/>
  <c r="M1747" i="3"/>
  <c r="M1748" i="3"/>
  <c r="M1749" i="3"/>
  <c r="M1750" i="3"/>
  <c r="M1751" i="3"/>
  <c r="M1752" i="3"/>
  <c r="M1753" i="3"/>
  <c r="M1754" i="3"/>
  <c r="M1755" i="3"/>
  <c r="M1756" i="3"/>
  <c r="M1757" i="3"/>
  <c r="M1758" i="3"/>
  <c r="M1759" i="3"/>
  <c r="M1760" i="3"/>
  <c r="M1761" i="3"/>
  <c r="M1762" i="3"/>
  <c r="M1763" i="3"/>
  <c r="M1764" i="3"/>
  <c r="M1765" i="3"/>
  <c r="M1766" i="3"/>
  <c r="M1767" i="3"/>
  <c r="M1768" i="3"/>
  <c r="M1769" i="3"/>
  <c r="M1770" i="3"/>
  <c r="M1771" i="3"/>
  <c r="M1772" i="3"/>
  <c r="M1773" i="3"/>
  <c r="M1774" i="3"/>
  <c r="M1775" i="3"/>
  <c r="M1776" i="3"/>
  <c r="M1777" i="3"/>
  <c r="M1778" i="3"/>
  <c r="M1779" i="3"/>
  <c r="M1780" i="3"/>
  <c r="M1781" i="3"/>
  <c r="M1782" i="3"/>
  <c r="M1783" i="3"/>
  <c r="M1784" i="3"/>
  <c r="M1785" i="3"/>
  <c r="M1786" i="3"/>
  <c r="M1787" i="3"/>
  <c r="M1788" i="3"/>
  <c r="M1789" i="3"/>
  <c r="M1790" i="3"/>
  <c r="M1791" i="3"/>
  <c r="M1792" i="3"/>
  <c r="M1793" i="3"/>
  <c r="M1794" i="3"/>
  <c r="M1795" i="3"/>
  <c r="M1796" i="3"/>
  <c r="M1797" i="3"/>
  <c r="M1798" i="3"/>
  <c r="M1799" i="3"/>
  <c r="M1800" i="3"/>
  <c r="M1801" i="3"/>
  <c r="M1802" i="3"/>
  <c r="M1803" i="3"/>
  <c r="M1804" i="3"/>
  <c r="M1805" i="3"/>
  <c r="M1806" i="3"/>
  <c r="M1807" i="3"/>
  <c r="M1808" i="3"/>
  <c r="M1809" i="3"/>
  <c r="M1810" i="3"/>
  <c r="M1811" i="3"/>
  <c r="M1812" i="3"/>
  <c r="M1813" i="3"/>
  <c r="M1814" i="3"/>
  <c r="M1815" i="3"/>
  <c r="M1816" i="3"/>
  <c r="M1817" i="3"/>
  <c r="M1818" i="3"/>
  <c r="M1819" i="3"/>
  <c r="M1820" i="3"/>
  <c r="M1821" i="3"/>
  <c r="M1822" i="3"/>
  <c r="M1823" i="3"/>
  <c r="M1824" i="3"/>
  <c r="M1825" i="3"/>
  <c r="M1826" i="3"/>
  <c r="M1827" i="3"/>
  <c r="M1828" i="3"/>
  <c r="M1829" i="3"/>
  <c r="M1830" i="3"/>
  <c r="M1831" i="3"/>
  <c r="M1832" i="3"/>
  <c r="M1833" i="3"/>
  <c r="M1834" i="3"/>
  <c r="M1835" i="3"/>
  <c r="M1836" i="3"/>
  <c r="M1837" i="3"/>
  <c r="M1838" i="3"/>
  <c r="M1839" i="3"/>
  <c r="M1840" i="3"/>
  <c r="M1841" i="3"/>
  <c r="M1842" i="3"/>
  <c r="M1843" i="3"/>
  <c r="M1844" i="3"/>
  <c r="M1845" i="3"/>
  <c r="M1846" i="3"/>
  <c r="M1847" i="3"/>
  <c r="M1848" i="3"/>
  <c r="M1849" i="3"/>
  <c r="M1850" i="3"/>
  <c r="M1851" i="3"/>
  <c r="M1852" i="3"/>
  <c r="M1853" i="3"/>
  <c r="M1854" i="3"/>
  <c r="M1855" i="3"/>
  <c r="M1856" i="3"/>
  <c r="M1857" i="3"/>
  <c r="M1858" i="3"/>
  <c r="M1859" i="3"/>
  <c r="M1860" i="3"/>
  <c r="M1861" i="3"/>
  <c r="M1862" i="3"/>
  <c r="M1863" i="3"/>
  <c r="M1864" i="3"/>
  <c r="M1865" i="3"/>
  <c r="M1866" i="3"/>
  <c r="M1867" i="3"/>
  <c r="M1868" i="3"/>
  <c r="M1869" i="3"/>
  <c r="M1870" i="3"/>
  <c r="M1871" i="3"/>
  <c r="M1872" i="3"/>
  <c r="M1873" i="3"/>
  <c r="M1874" i="3"/>
  <c r="M1875" i="3"/>
  <c r="M1876" i="3"/>
  <c r="M1877" i="3"/>
  <c r="M1878" i="3"/>
  <c r="M1879" i="3"/>
  <c r="M1880" i="3"/>
  <c r="M1881" i="3"/>
  <c r="M1882" i="3"/>
  <c r="M1883" i="3"/>
  <c r="M1884" i="3"/>
  <c r="M1885" i="3"/>
  <c r="M1886" i="3"/>
  <c r="M1887" i="3"/>
  <c r="M1888" i="3"/>
  <c r="M1889" i="3"/>
  <c r="M1890" i="3"/>
  <c r="M1891" i="3"/>
  <c r="M1892" i="3"/>
  <c r="M1893" i="3"/>
  <c r="M1894" i="3"/>
  <c r="M1895" i="3"/>
  <c r="M1896" i="3"/>
  <c r="M1897" i="3"/>
  <c r="M1898" i="3"/>
  <c r="M1899" i="3"/>
  <c r="M1900" i="3"/>
  <c r="M1901" i="3"/>
  <c r="M1902" i="3"/>
  <c r="M1903" i="3"/>
  <c r="M1904" i="3"/>
  <c r="M1905" i="3"/>
  <c r="M1906" i="3"/>
  <c r="M1907" i="3"/>
  <c r="M1908" i="3"/>
  <c r="M1909" i="3"/>
  <c r="M1910" i="3"/>
  <c r="M1911" i="3"/>
  <c r="M1912" i="3"/>
  <c r="M1913" i="3"/>
  <c r="M1914" i="3"/>
  <c r="M1915" i="3"/>
  <c r="M1916" i="3"/>
  <c r="M1917" i="3"/>
  <c r="M1918" i="3"/>
  <c r="M1919" i="3"/>
  <c r="M1920" i="3"/>
  <c r="M1921" i="3"/>
  <c r="M1922" i="3"/>
  <c r="M1923" i="3"/>
  <c r="M1924" i="3"/>
  <c r="M1925" i="3"/>
  <c r="M1926" i="3"/>
  <c r="M1927" i="3"/>
  <c r="M1928" i="3"/>
  <c r="M1929" i="3"/>
  <c r="M1930" i="3"/>
  <c r="M1931" i="3"/>
  <c r="M1932" i="3"/>
  <c r="M1933" i="3"/>
  <c r="M1934" i="3"/>
  <c r="M1935" i="3"/>
  <c r="M1936" i="3"/>
  <c r="M1937" i="3"/>
  <c r="M1938" i="3"/>
  <c r="M1939" i="3"/>
  <c r="M1940" i="3"/>
  <c r="M1941" i="3"/>
  <c r="M1942" i="3"/>
  <c r="M1943" i="3"/>
  <c r="M1944" i="3"/>
  <c r="M1945" i="3"/>
  <c r="M1946" i="3"/>
  <c r="M1947" i="3"/>
  <c r="M1948" i="3"/>
  <c r="M1949" i="3"/>
  <c r="M1950" i="3"/>
  <c r="M1951" i="3"/>
  <c r="M1952" i="3"/>
  <c r="M1953" i="3"/>
  <c r="M1954" i="3"/>
  <c r="M1955" i="3"/>
  <c r="M1956" i="3"/>
  <c r="M1957" i="3"/>
  <c r="M1958" i="3"/>
  <c r="M1959" i="3"/>
  <c r="M1960" i="3"/>
  <c r="M1961" i="3"/>
  <c r="M1962" i="3"/>
  <c r="M1963" i="3"/>
  <c r="M1964" i="3"/>
  <c r="M1965" i="3"/>
  <c r="M1966" i="3"/>
  <c r="M1967" i="3"/>
  <c r="M1968" i="3"/>
  <c r="M1969" i="3"/>
  <c r="M1970" i="3"/>
  <c r="M1971" i="3"/>
  <c r="M1972" i="3"/>
  <c r="M1973" i="3"/>
  <c r="M1974" i="3"/>
  <c r="M1975" i="3"/>
  <c r="M1976" i="3"/>
  <c r="M1977" i="3"/>
  <c r="M1978" i="3"/>
  <c r="M1979" i="3"/>
  <c r="M1980" i="3"/>
  <c r="M1981" i="3"/>
  <c r="M1982" i="3"/>
  <c r="M1983" i="3"/>
  <c r="M1984" i="3"/>
  <c r="M1985" i="3"/>
  <c r="M1986" i="3"/>
  <c r="M1987" i="3"/>
  <c r="M1988" i="3"/>
  <c r="M1989" i="3"/>
  <c r="M1990" i="3"/>
  <c r="M1991" i="3"/>
  <c r="M1992" i="3"/>
  <c r="M1993" i="3"/>
  <c r="M1994" i="3"/>
  <c r="M1995" i="3"/>
  <c r="M1996" i="3"/>
  <c r="M1997" i="3"/>
  <c r="M1998" i="3"/>
  <c r="M1999" i="3"/>
  <c r="M2000" i="3"/>
  <c r="M2001" i="3"/>
  <c r="M2002" i="3"/>
  <c r="M2003" i="3"/>
  <c r="M2004" i="3"/>
  <c r="L42" i="3"/>
  <c r="L44" i="3"/>
  <c r="L63" i="3"/>
  <c r="L84" i="3"/>
  <c r="L86" i="3"/>
  <c r="L90" i="3"/>
  <c r="L97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L1005" i="3"/>
  <c r="L1006" i="3"/>
  <c r="L1007" i="3"/>
  <c r="L1008" i="3"/>
  <c r="L1009" i="3"/>
  <c r="L1010" i="3"/>
  <c r="L1011" i="3"/>
  <c r="L1012" i="3"/>
  <c r="L1013" i="3"/>
  <c r="L1014" i="3"/>
  <c r="L1015" i="3"/>
  <c r="L1016" i="3"/>
  <c r="L1017" i="3"/>
  <c r="L1018" i="3"/>
  <c r="L1019" i="3"/>
  <c r="L1020" i="3"/>
  <c r="L1021" i="3"/>
  <c r="L1022" i="3"/>
  <c r="L1023" i="3"/>
  <c r="L1024" i="3"/>
  <c r="L1025" i="3"/>
  <c r="L1026" i="3"/>
  <c r="L1027" i="3"/>
  <c r="L1028" i="3"/>
  <c r="L1029" i="3"/>
  <c r="L1030" i="3"/>
  <c r="L1031" i="3"/>
  <c r="L1032" i="3"/>
  <c r="L1033" i="3"/>
  <c r="L1034" i="3"/>
  <c r="L1035" i="3"/>
  <c r="L1036" i="3"/>
  <c r="L1037" i="3"/>
  <c r="L1038" i="3"/>
  <c r="L1039" i="3"/>
  <c r="L1040" i="3"/>
  <c r="L1041" i="3"/>
  <c r="L1042" i="3"/>
  <c r="L1043" i="3"/>
  <c r="L1044" i="3"/>
  <c r="L1045" i="3"/>
  <c r="L1046" i="3"/>
  <c r="L1047" i="3"/>
  <c r="L1048" i="3"/>
  <c r="L1049" i="3"/>
  <c r="L1050" i="3"/>
  <c r="L1051" i="3"/>
  <c r="L1052" i="3"/>
  <c r="L1053" i="3"/>
  <c r="L1054" i="3"/>
  <c r="L1055" i="3"/>
  <c r="L1056" i="3"/>
  <c r="L1057" i="3"/>
  <c r="L1058" i="3"/>
  <c r="L1059" i="3"/>
  <c r="L1060" i="3"/>
  <c r="L1061" i="3"/>
  <c r="L1062" i="3"/>
  <c r="L1063" i="3"/>
  <c r="L1064" i="3"/>
  <c r="L1065" i="3"/>
  <c r="L1066" i="3"/>
  <c r="L1067" i="3"/>
  <c r="L1068" i="3"/>
  <c r="L1069" i="3"/>
  <c r="L1070" i="3"/>
  <c r="L1071" i="3"/>
  <c r="L1072" i="3"/>
  <c r="L1073" i="3"/>
  <c r="L1074" i="3"/>
  <c r="L1075" i="3"/>
  <c r="L1076" i="3"/>
  <c r="L1077" i="3"/>
  <c r="L1078" i="3"/>
  <c r="L1079" i="3"/>
  <c r="L1080" i="3"/>
  <c r="L1081" i="3"/>
  <c r="L1082" i="3"/>
  <c r="L1083" i="3"/>
  <c r="L1084" i="3"/>
  <c r="L1085" i="3"/>
  <c r="L1086" i="3"/>
  <c r="L1087" i="3"/>
  <c r="L1088" i="3"/>
  <c r="L1089" i="3"/>
  <c r="L1090" i="3"/>
  <c r="L1091" i="3"/>
  <c r="L1092" i="3"/>
  <c r="L1093" i="3"/>
  <c r="L1094" i="3"/>
  <c r="L1095" i="3"/>
  <c r="L1096" i="3"/>
  <c r="L1097" i="3"/>
  <c r="L1098" i="3"/>
  <c r="L1099" i="3"/>
  <c r="L1100" i="3"/>
  <c r="L1101" i="3"/>
  <c r="L1102" i="3"/>
  <c r="L1103" i="3"/>
  <c r="L1104" i="3"/>
  <c r="L1105" i="3"/>
  <c r="L1106" i="3"/>
  <c r="L1107" i="3"/>
  <c r="L1108" i="3"/>
  <c r="L1109" i="3"/>
  <c r="L1110" i="3"/>
  <c r="L1111" i="3"/>
  <c r="L1112" i="3"/>
  <c r="L1113" i="3"/>
  <c r="L1114" i="3"/>
  <c r="L1115" i="3"/>
  <c r="L1116" i="3"/>
  <c r="L1117" i="3"/>
  <c r="L1118" i="3"/>
  <c r="L1119" i="3"/>
  <c r="L1120" i="3"/>
  <c r="L1121" i="3"/>
  <c r="L1122" i="3"/>
  <c r="L1123" i="3"/>
  <c r="L1124" i="3"/>
  <c r="L1125" i="3"/>
  <c r="L1126" i="3"/>
  <c r="L1127" i="3"/>
  <c r="L1128" i="3"/>
  <c r="L1129" i="3"/>
  <c r="L1130" i="3"/>
  <c r="L1131" i="3"/>
  <c r="L1132" i="3"/>
  <c r="L1133" i="3"/>
  <c r="L1134" i="3"/>
  <c r="L1135" i="3"/>
  <c r="L1136" i="3"/>
  <c r="L1137" i="3"/>
  <c r="L1138" i="3"/>
  <c r="L1139" i="3"/>
  <c r="L1140" i="3"/>
  <c r="L1141" i="3"/>
  <c r="L1142" i="3"/>
  <c r="L1143" i="3"/>
  <c r="L1144" i="3"/>
  <c r="L1145" i="3"/>
  <c r="L1146" i="3"/>
  <c r="L1147" i="3"/>
  <c r="L1148" i="3"/>
  <c r="L1149" i="3"/>
  <c r="L1150" i="3"/>
  <c r="L1151" i="3"/>
  <c r="L1152" i="3"/>
  <c r="L1153" i="3"/>
  <c r="L1154" i="3"/>
  <c r="L1155" i="3"/>
  <c r="L1156" i="3"/>
  <c r="L1157" i="3"/>
  <c r="L1158" i="3"/>
  <c r="L1159" i="3"/>
  <c r="L1160" i="3"/>
  <c r="L1161" i="3"/>
  <c r="L1162" i="3"/>
  <c r="L1163" i="3"/>
  <c r="L1164" i="3"/>
  <c r="L1165" i="3"/>
  <c r="L1166" i="3"/>
  <c r="L1167" i="3"/>
  <c r="L1168" i="3"/>
  <c r="L1169" i="3"/>
  <c r="L1170" i="3"/>
  <c r="L1171" i="3"/>
  <c r="L1172" i="3"/>
  <c r="L1173" i="3"/>
  <c r="L1174" i="3"/>
  <c r="L1175" i="3"/>
  <c r="L1176" i="3"/>
  <c r="L1177" i="3"/>
  <c r="L1178" i="3"/>
  <c r="L1179" i="3"/>
  <c r="L1180" i="3"/>
  <c r="L1181" i="3"/>
  <c r="L1182" i="3"/>
  <c r="L1183" i="3"/>
  <c r="L1184" i="3"/>
  <c r="L1185" i="3"/>
  <c r="L1186" i="3"/>
  <c r="L1187" i="3"/>
  <c r="L1188" i="3"/>
  <c r="L1189" i="3"/>
  <c r="L1190" i="3"/>
  <c r="L1191" i="3"/>
  <c r="L1192" i="3"/>
  <c r="L1193" i="3"/>
  <c r="L1194" i="3"/>
  <c r="L1195" i="3"/>
  <c r="L1196" i="3"/>
  <c r="L1197" i="3"/>
  <c r="L1198" i="3"/>
  <c r="L1199" i="3"/>
  <c r="L1200" i="3"/>
  <c r="L1201" i="3"/>
  <c r="L1202" i="3"/>
  <c r="L1203" i="3"/>
  <c r="L1204" i="3"/>
  <c r="L1205" i="3"/>
  <c r="L1206" i="3"/>
  <c r="L1207" i="3"/>
  <c r="L1208" i="3"/>
  <c r="L1209" i="3"/>
  <c r="L1210" i="3"/>
  <c r="L1211" i="3"/>
  <c r="L1212" i="3"/>
  <c r="L1213" i="3"/>
  <c r="L1214" i="3"/>
  <c r="L1215" i="3"/>
  <c r="L1216" i="3"/>
  <c r="L1217" i="3"/>
  <c r="L1218" i="3"/>
  <c r="L1219" i="3"/>
  <c r="L1220" i="3"/>
  <c r="L1221" i="3"/>
  <c r="L1222" i="3"/>
  <c r="L1223" i="3"/>
  <c r="L1224" i="3"/>
  <c r="L1225" i="3"/>
  <c r="L1226" i="3"/>
  <c r="L1227" i="3"/>
  <c r="L1228" i="3"/>
  <c r="L1229" i="3"/>
  <c r="L1230" i="3"/>
  <c r="L1231" i="3"/>
  <c r="L1232" i="3"/>
  <c r="L1233" i="3"/>
  <c r="L1234" i="3"/>
  <c r="L1235" i="3"/>
  <c r="L1236" i="3"/>
  <c r="L1237" i="3"/>
  <c r="L1238" i="3"/>
  <c r="L1239" i="3"/>
  <c r="L1240" i="3"/>
  <c r="L1241" i="3"/>
  <c r="L1242" i="3"/>
  <c r="L1243" i="3"/>
  <c r="L1244" i="3"/>
  <c r="L1245" i="3"/>
  <c r="L1246" i="3"/>
  <c r="L1247" i="3"/>
  <c r="L1248" i="3"/>
  <c r="L1249" i="3"/>
  <c r="L1250" i="3"/>
  <c r="L1251" i="3"/>
  <c r="L1252" i="3"/>
  <c r="L1253" i="3"/>
  <c r="L1254" i="3"/>
  <c r="L1255" i="3"/>
  <c r="L1256" i="3"/>
  <c r="L1257" i="3"/>
  <c r="L1258" i="3"/>
  <c r="L1259" i="3"/>
  <c r="L1260" i="3"/>
  <c r="L1261" i="3"/>
  <c r="L1262" i="3"/>
  <c r="L1263" i="3"/>
  <c r="L1264" i="3"/>
  <c r="L1265" i="3"/>
  <c r="L1266" i="3"/>
  <c r="L1267" i="3"/>
  <c r="L1268" i="3"/>
  <c r="L1269" i="3"/>
  <c r="L1270" i="3"/>
  <c r="L1271" i="3"/>
  <c r="L1272" i="3"/>
  <c r="L1273" i="3"/>
  <c r="L1274" i="3"/>
  <c r="L1275" i="3"/>
  <c r="L1276" i="3"/>
  <c r="L1277" i="3"/>
  <c r="L1278" i="3"/>
  <c r="L1279" i="3"/>
  <c r="L1280" i="3"/>
  <c r="L1281" i="3"/>
  <c r="L1282" i="3"/>
  <c r="L1283" i="3"/>
  <c r="L1284" i="3"/>
  <c r="L1285" i="3"/>
  <c r="L1286" i="3"/>
  <c r="L1287" i="3"/>
  <c r="L1288" i="3"/>
  <c r="L1289" i="3"/>
  <c r="L1290" i="3"/>
  <c r="L1291" i="3"/>
  <c r="L1292" i="3"/>
  <c r="L1293" i="3"/>
  <c r="L1294" i="3"/>
  <c r="L1295" i="3"/>
  <c r="L1296" i="3"/>
  <c r="L1297" i="3"/>
  <c r="L1298" i="3"/>
  <c r="L1299" i="3"/>
  <c r="L1300" i="3"/>
  <c r="L1301" i="3"/>
  <c r="L1302" i="3"/>
  <c r="L1303" i="3"/>
  <c r="L1304" i="3"/>
  <c r="L1305" i="3"/>
  <c r="L1306" i="3"/>
  <c r="L1307" i="3"/>
  <c r="L1308" i="3"/>
  <c r="L1309" i="3"/>
  <c r="L1310" i="3"/>
  <c r="L1311" i="3"/>
  <c r="L1312" i="3"/>
  <c r="L1313" i="3"/>
  <c r="L1314" i="3"/>
  <c r="L1315" i="3"/>
  <c r="L1316" i="3"/>
  <c r="L1317" i="3"/>
  <c r="L1318" i="3"/>
  <c r="L1319" i="3"/>
  <c r="L1320" i="3"/>
  <c r="L1321" i="3"/>
  <c r="L1322" i="3"/>
  <c r="L1323" i="3"/>
  <c r="L1324" i="3"/>
  <c r="L1325" i="3"/>
  <c r="L1326" i="3"/>
  <c r="L1327" i="3"/>
  <c r="L1328" i="3"/>
  <c r="L1329" i="3"/>
  <c r="L1330" i="3"/>
  <c r="L1331" i="3"/>
  <c r="L1332" i="3"/>
  <c r="L1333" i="3"/>
  <c r="L1334" i="3"/>
  <c r="L1335" i="3"/>
  <c r="L1336" i="3"/>
  <c r="L1337" i="3"/>
  <c r="L1338" i="3"/>
  <c r="L1339" i="3"/>
  <c r="L1340" i="3"/>
  <c r="L1341" i="3"/>
  <c r="L1342" i="3"/>
  <c r="L1343" i="3"/>
  <c r="L1344" i="3"/>
  <c r="L1345" i="3"/>
  <c r="L1346" i="3"/>
  <c r="L1347" i="3"/>
  <c r="L1348" i="3"/>
  <c r="L1349" i="3"/>
  <c r="L1350" i="3"/>
  <c r="L1351" i="3"/>
  <c r="L1352" i="3"/>
  <c r="L1353" i="3"/>
  <c r="L1354" i="3"/>
  <c r="L1355" i="3"/>
  <c r="L1356" i="3"/>
  <c r="L1357" i="3"/>
  <c r="L1358" i="3"/>
  <c r="L1359" i="3"/>
  <c r="L1360" i="3"/>
  <c r="L1361" i="3"/>
  <c r="L1362" i="3"/>
  <c r="L1363" i="3"/>
  <c r="L1364" i="3"/>
  <c r="L1365" i="3"/>
  <c r="L1366" i="3"/>
  <c r="L1367" i="3"/>
  <c r="L1368" i="3"/>
  <c r="L1369" i="3"/>
  <c r="L1370" i="3"/>
  <c r="L1371" i="3"/>
  <c r="L1372" i="3"/>
  <c r="L1373" i="3"/>
  <c r="L1374" i="3"/>
  <c r="L1375" i="3"/>
  <c r="L1376" i="3"/>
  <c r="L1377" i="3"/>
  <c r="L1378" i="3"/>
  <c r="L1379" i="3"/>
  <c r="L1380" i="3"/>
  <c r="L1381" i="3"/>
  <c r="L1382" i="3"/>
  <c r="L1383" i="3"/>
  <c r="L1384" i="3"/>
  <c r="L1385" i="3"/>
  <c r="L1386" i="3"/>
  <c r="L1387" i="3"/>
  <c r="L1388" i="3"/>
  <c r="L1389" i="3"/>
  <c r="L1390" i="3"/>
  <c r="L1391" i="3"/>
  <c r="L1392" i="3"/>
  <c r="L1393" i="3"/>
  <c r="L1394" i="3"/>
  <c r="L1395" i="3"/>
  <c r="L1396" i="3"/>
  <c r="L1397" i="3"/>
  <c r="L1398" i="3"/>
  <c r="L1399" i="3"/>
  <c r="L1400" i="3"/>
  <c r="L1401" i="3"/>
  <c r="L1402" i="3"/>
  <c r="L1403" i="3"/>
  <c r="L1404" i="3"/>
  <c r="L1405" i="3"/>
  <c r="L1406" i="3"/>
  <c r="L1407" i="3"/>
  <c r="L1408" i="3"/>
  <c r="L1409" i="3"/>
  <c r="L1410" i="3"/>
  <c r="L1411" i="3"/>
  <c r="L1412" i="3"/>
  <c r="L1413" i="3"/>
  <c r="L1414" i="3"/>
  <c r="L1415" i="3"/>
  <c r="L1416" i="3"/>
  <c r="L1417" i="3"/>
  <c r="L1418" i="3"/>
  <c r="L1419" i="3"/>
  <c r="L1420" i="3"/>
  <c r="L1421" i="3"/>
  <c r="L1422" i="3"/>
  <c r="L1423" i="3"/>
  <c r="L1424" i="3"/>
  <c r="L1425" i="3"/>
  <c r="L1426" i="3"/>
  <c r="L1427" i="3"/>
  <c r="L1428" i="3"/>
  <c r="L1429" i="3"/>
  <c r="L1430" i="3"/>
  <c r="L1431" i="3"/>
  <c r="L1432" i="3"/>
  <c r="L1433" i="3"/>
  <c r="L1434" i="3"/>
  <c r="L1435" i="3"/>
  <c r="L1436" i="3"/>
  <c r="L1437" i="3"/>
  <c r="L1438" i="3"/>
  <c r="L1439" i="3"/>
  <c r="L1440" i="3"/>
  <c r="L1441" i="3"/>
  <c r="L1442" i="3"/>
  <c r="L1443" i="3"/>
  <c r="L1444" i="3"/>
  <c r="L1445" i="3"/>
  <c r="L1446" i="3"/>
  <c r="L1447" i="3"/>
  <c r="L1448" i="3"/>
  <c r="L1449" i="3"/>
  <c r="L1450" i="3"/>
  <c r="L1451" i="3"/>
  <c r="L1452" i="3"/>
  <c r="L1453" i="3"/>
  <c r="L1454" i="3"/>
  <c r="L1455" i="3"/>
  <c r="L1456" i="3"/>
  <c r="L1457" i="3"/>
  <c r="L1458" i="3"/>
  <c r="L1459" i="3"/>
  <c r="L1460" i="3"/>
  <c r="L1461" i="3"/>
  <c r="L1462" i="3"/>
  <c r="L1463" i="3"/>
  <c r="L1464" i="3"/>
  <c r="L1465" i="3"/>
  <c r="L1466" i="3"/>
  <c r="L1467" i="3"/>
  <c r="L1468" i="3"/>
  <c r="L1469" i="3"/>
  <c r="L1470" i="3"/>
  <c r="L1471" i="3"/>
  <c r="L1472" i="3"/>
  <c r="L1473" i="3"/>
  <c r="L1474" i="3"/>
  <c r="L1475" i="3"/>
  <c r="L1476" i="3"/>
  <c r="L1477" i="3"/>
  <c r="L1478" i="3"/>
  <c r="L1479" i="3"/>
  <c r="L1480" i="3"/>
  <c r="L1481" i="3"/>
  <c r="L1482" i="3"/>
  <c r="L1483" i="3"/>
  <c r="L1484" i="3"/>
  <c r="L1485" i="3"/>
  <c r="L1486" i="3"/>
  <c r="L1487" i="3"/>
  <c r="L1488" i="3"/>
  <c r="L1489" i="3"/>
  <c r="L1490" i="3"/>
  <c r="L1491" i="3"/>
  <c r="L1492" i="3"/>
  <c r="L1493" i="3"/>
  <c r="L1494" i="3"/>
  <c r="L1495" i="3"/>
  <c r="L1496" i="3"/>
  <c r="L1497" i="3"/>
  <c r="L1498" i="3"/>
  <c r="L1499" i="3"/>
  <c r="L1500" i="3"/>
  <c r="L1501" i="3"/>
  <c r="L1502" i="3"/>
  <c r="L1503" i="3"/>
  <c r="L1504" i="3"/>
  <c r="L1505" i="3"/>
  <c r="L1506" i="3"/>
  <c r="L1507" i="3"/>
  <c r="L1508" i="3"/>
  <c r="L1509" i="3"/>
  <c r="L1510" i="3"/>
  <c r="L1511" i="3"/>
  <c r="L1512" i="3"/>
  <c r="L1513" i="3"/>
  <c r="L1514" i="3"/>
  <c r="L1515" i="3"/>
  <c r="L1516" i="3"/>
  <c r="L1517" i="3"/>
  <c r="L1518" i="3"/>
  <c r="L1519" i="3"/>
  <c r="L1520" i="3"/>
  <c r="L1521" i="3"/>
  <c r="L1522" i="3"/>
  <c r="L1523" i="3"/>
  <c r="L1524" i="3"/>
  <c r="L1525" i="3"/>
  <c r="L1526" i="3"/>
  <c r="L1527" i="3"/>
  <c r="L1528" i="3"/>
  <c r="L1529" i="3"/>
  <c r="L1530" i="3"/>
  <c r="L1531" i="3"/>
  <c r="L1532" i="3"/>
  <c r="L1533" i="3"/>
  <c r="L1534" i="3"/>
  <c r="L1535" i="3"/>
  <c r="L1536" i="3"/>
  <c r="L1537" i="3"/>
  <c r="L1538" i="3"/>
  <c r="L1539" i="3"/>
  <c r="L1540" i="3"/>
  <c r="L1541" i="3"/>
  <c r="L1542" i="3"/>
  <c r="L1543" i="3"/>
  <c r="L1544" i="3"/>
  <c r="L1545" i="3"/>
  <c r="L1546" i="3"/>
  <c r="L1547" i="3"/>
  <c r="L1548" i="3"/>
  <c r="L1549" i="3"/>
  <c r="L1550" i="3"/>
  <c r="L1551" i="3"/>
  <c r="L1552" i="3"/>
  <c r="L1553" i="3"/>
  <c r="L1554" i="3"/>
  <c r="L1555" i="3"/>
  <c r="L1556" i="3"/>
  <c r="L1557" i="3"/>
  <c r="L1558" i="3"/>
  <c r="L1559" i="3"/>
  <c r="L1560" i="3"/>
  <c r="L1561" i="3"/>
  <c r="L1562" i="3"/>
  <c r="L1563" i="3"/>
  <c r="L1564" i="3"/>
  <c r="L1565" i="3"/>
  <c r="L1566" i="3"/>
  <c r="L1567" i="3"/>
  <c r="L1568" i="3"/>
  <c r="L1569" i="3"/>
  <c r="L1570" i="3"/>
  <c r="L1571" i="3"/>
  <c r="L1572" i="3"/>
  <c r="L1573" i="3"/>
  <c r="L1574" i="3"/>
  <c r="L1575" i="3"/>
  <c r="L1576" i="3"/>
  <c r="L1577" i="3"/>
  <c r="L1578" i="3"/>
  <c r="L1579" i="3"/>
  <c r="L1580" i="3"/>
  <c r="L1581" i="3"/>
  <c r="L1582" i="3"/>
  <c r="L1583" i="3"/>
  <c r="L1584" i="3"/>
  <c r="L1585" i="3"/>
  <c r="L1586" i="3"/>
  <c r="L1587" i="3"/>
  <c r="L1588" i="3"/>
  <c r="L1589" i="3"/>
  <c r="L1590" i="3"/>
  <c r="L1591" i="3"/>
  <c r="L1592" i="3"/>
  <c r="L1593" i="3"/>
  <c r="L1594" i="3"/>
  <c r="L1595" i="3"/>
  <c r="L1596" i="3"/>
  <c r="L1597" i="3"/>
  <c r="L1598" i="3"/>
  <c r="L1599" i="3"/>
  <c r="L1600" i="3"/>
  <c r="L1601" i="3"/>
  <c r="L1602" i="3"/>
  <c r="L1603" i="3"/>
  <c r="L1604" i="3"/>
  <c r="L1605" i="3"/>
  <c r="L1606" i="3"/>
  <c r="L1607" i="3"/>
  <c r="L1608" i="3"/>
  <c r="L1609" i="3"/>
  <c r="L1610" i="3"/>
  <c r="L1611" i="3"/>
  <c r="L1612" i="3"/>
  <c r="L1613" i="3"/>
  <c r="L1614" i="3"/>
  <c r="L1615" i="3"/>
  <c r="L1616" i="3"/>
  <c r="L1617" i="3"/>
  <c r="L1618" i="3"/>
  <c r="L1619" i="3"/>
  <c r="L1620" i="3"/>
  <c r="L1621" i="3"/>
  <c r="L1622" i="3"/>
  <c r="L1623" i="3"/>
  <c r="L1624" i="3"/>
  <c r="L1625" i="3"/>
  <c r="L1626" i="3"/>
  <c r="L1627" i="3"/>
  <c r="L1628" i="3"/>
  <c r="L1629" i="3"/>
  <c r="L1630" i="3"/>
  <c r="L1631" i="3"/>
  <c r="L1632" i="3"/>
  <c r="L1633" i="3"/>
  <c r="L1634" i="3"/>
  <c r="L1635" i="3"/>
  <c r="L1636" i="3"/>
  <c r="L1637" i="3"/>
  <c r="L1638" i="3"/>
  <c r="L1639" i="3"/>
  <c r="L1640" i="3"/>
  <c r="L1641" i="3"/>
  <c r="L1642" i="3"/>
  <c r="L1643" i="3"/>
  <c r="L1644" i="3"/>
  <c r="L1645" i="3"/>
  <c r="L1646" i="3"/>
  <c r="L1647" i="3"/>
  <c r="L1648" i="3"/>
  <c r="L1649" i="3"/>
  <c r="L1650" i="3"/>
  <c r="L1651" i="3"/>
  <c r="L1652" i="3"/>
  <c r="L1653" i="3"/>
  <c r="L1654" i="3"/>
  <c r="L1655" i="3"/>
  <c r="L1656" i="3"/>
  <c r="L1657" i="3"/>
  <c r="L1658" i="3"/>
  <c r="L1659" i="3"/>
  <c r="L1660" i="3"/>
  <c r="L1661" i="3"/>
  <c r="L1662" i="3"/>
  <c r="L1663" i="3"/>
  <c r="L1664" i="3"/>
  <c r="L1665" i="3"/>
  <c r="L1666" i="3"/>
  <c r="L1667" i="3"/>
  <c r="L1668" i="3"/>
  <c r="L1669" i="3"/>
  <c r="L1670" i="3"/>
  <c r="L1671" i="3"/>
  <c r="L1672" i="3"/>
  <c r="L1673" i="3"/>
  <c r="L1674" i="3"/>
  <c r="L1675" i="3"/>
  <c r="L1676" i="3"/>
  <c r="L1677" i="3"/>
  <c r="L1678" i="3"/>
  <c r="L1679" i="3"/>
  <c r="L1680" i="3"/>
  <c r="L1681" i="3"/>
  <c r="L1682" i="3"/>
  <c r="L1683" i="3"/>
  <c r="L1684" i="3"/>
  <c r="L1685" i="3"/>
  <c r="L1686" i="3"/>
  <c r="L1687" i="3"/>
  <c r="L1688" i="3"/>
  <c r="L1689" i="3"/>
  <c r="L1690" i="3"/>
  <c r="L1691" i="3"/>
  <c r="L1692" i="3"/>
  <c r="L1693" i="3"/>
  <c r="L1694" i="3"/>
  <c r="L1695" i="3"/>
  <c r="L1696" i="3"/>
  <c r="L1697" i="3"/>
  <c r="L1698" i="3"/>
  <c r="L1699" i="3"/>
  <c r="L1700" i="3"/>
  <c r="L1701" i="3"/>
  <c r="L1702" i="3"/>
  <c r="L1703" i="3"/>
  <c r="L1704" i="3"/>
  <c r="L1705" i="3"/>
  <c r="L1706" i="3"/>
  <c r="L1707" i="3"/>
  <c r="L1708" i="3"/>
  <c r="L1709" i="3"/>
  <c r="L1710" i="3"/>
  <c r="L1711" i="3"/>
  <c r="L1712" i="3"/>
  <c r="L1713" i="3"/>
  <c r="L1714" i="3"/>
  <c r="L1715" i="3"/>
  <c r="L1716" i="3"/>
  <c r="L1717" i="3"/>
  <c r="L1718" i="3"/>
  <c r="L1719" i="3"/>
  <c r="L1720" i="3"/>
  <c r="L1721" i="3"/>
  <c r="L1722" i="3"/>
  <c r="L1723" i="3"/>
  <c r="L1724" i="3"/>
  <c r="L1725" i="3"/>
  <c r="L1726" i="3"/>
  <c r="L1727" i="3"/>
  <c r="L1728" i="3"/>
  <c r="L1729" i="3"/>
  <c r="L1730" i="3"/>
  <c r="L1731" i="3"/>
  <c r="L1732" i="3"/>
  <c r="L1733" i="3"/>
  <c r="L1734" i="3"/>
  <c r="L1735" i="3"/>
  <c r="L1736" i="3"/>
  <c r="L1737" i="3"/>
  <c r="L1738" i="3"/>
  <c r="L1739" i="3"/>
  <c r="L1740" i="3"/>
  <c r="L1741" i="3"/>
  <c r="L1742" i="3"/>
  <c r="L1743" i="3"/>
  <c r="L1744" i="3"/>
  <c r="L1745" i="3"/>
  <c r="L1746" i="3"/>
  <c r="L1747" i="3"/>
  <c r="L1748" i="3"/>
  <c r="L1749" i="3"/>
  <c r="L1750" i="3"/>
  <c r="L1751" i="3"/>
  <c r="L1752" i="3"/>
  <c r="L1753" i="3"/>
  <c r="L1754" i="3"/>
  <c r="L1755" i="3"/>
  <c r="L1756" i="3"/>
  <c r="L1757" i="3"/>
  <c r="L1758" i="3"/>
  <c r="L1759" i="3"/>
  <c r="L1760" i="3"/>
  <c r="L1761" i="3"/>
  <c r="L1762" i="3"/>
  <c r="L1763" i="3"/>
  <c r="L1764" i="3"/>
  <c r="L1765" i="3"/>
  <c r="L1766" i="3"/>
  <c r="L1767" i="3"/>
  <c r="L1768" i="3"/>
  <c r="L1769" i="3"/>
  <c r="L1770" i="3"/>
  <c r="L1771" i="3"/>
  <c r="L1772" i="3"/>
  <c r="L1773" i="3"/>
  <c r="L1774" i="3"/>
  <c r="L1775" i="3"/>
  <c r="L1776" i="3"/>
  <c r="L1777" i="3"/>
  <c r="L1778" i="3"/>
  <c r="L1779" i="3"/>
  <c r="L1780" i="3"/>
  <c r="L1781" i="3"/>
  <c r="L1782" i="3"/>
  <c r="L1783" i="3"/>
  <c r="L1784" i="3"/>
  <c r="L1785" i="3"/>
  <c r="L1786" i="3"/>
  <c r="L1787" i="3"/>
  <c r="L1788" i="3"/>
  <c r="L1789" i="3"/>
  <c r="L1790" i="3"/>
  <c r="L1791" i="3"/>
  <c r="L1792" i="3"/>
  <c r="L1793" i="3"/>
  <c r="L1794" i="3"/>
  <c r="L1795" i="3"/>
  <c r="L1796" i="3"/>
  <c r="L1797" i="3"/>
  <c r="L1798" i="3"/>
  <c r="L1799" i="3"/>
  <c r="L1800" i="3"/>
  <c r="L1801" i="3"/>
  <c r="L1802" i="3"/>
  <c r="L1803" i="3"/>
  <c r="L1804" i="3"/>
  <c r="L1805" i="3"/>
  <c r="L1806" i="3"/>
  <c r="L1807" i="3"/>
  <c r="L1808" i="3"/>
  <c r="L1809" i="3"/>
  <c r="L1810" i="3"/>
  <c r="L1811" i="3"/>
  <c r="L1812" i="3"/>
  <c r="L1813" i="3"/>
  <c r="L1814" i="3"/>
  <c r="L1815" i="3"/>
  <c r="L1816" i="3"/>
  <c r="L1817" i="3"/>
  <c r="L1818" i="3"/>
  <c r="L1819" i="3"/>
  <c r="L1820" i="3"/>
  <c r="L1821" i="3"/>
  <c r="L1822" i="3"/>
  <c r="L1823" i="3"/>
  <c r="L1824" i="3"/>
  <c r="L1825" i="3"/>
  <c r="L1826" i="3"/>
  <c r="L1827" i="3"/>
  <c r="L1828" i="3"/>
  <c r="L1829" i="3"/>
  <c r="L1830" i="3"/>
  <c r="L1831" i="3"/>
  <c r="L1832" i="3"/>
  <c r="L1833" i="3"/>
  <c r="L1834" i="3"/>
  <c r="L1835" i="3"/>
  <c r="L1836" i="3"/>
  <c r="L1837" i="3"/>
  <c r="L1838" i="3"/>
  <c r="L1839" i="3"/>
  <c r="L1840" i="3"/>
  <c r="L1841" i="3"/>
  <c r="L1842" i="3"/>
  <c r="L1843" i="3"/>
  <c r="L1844" i="3"/>
  <c r="L1845" i="3"/>
  <c r="L1846" i="3"/>
  <c r="L1847" i="3"/>
  <c r="L1848" i="3"/>
  <c r="L1849" i="3"/>
  <c r="L1850" i="3"/>
  <c r="L1851" i="3"/>
  <c r="L1852" i="3"/>
  <c r="L1853" i="3"/>
  <c r="L1854" i="3"/>
  <c r="L1855" i="3"/>
  <c r="L1856" i="3"/>
  <c r="L1857" i="3"/>
  <c r="L1858" i="3"/>
  <c r="L1859" i="3"/>
  <c r="L1860" i="3"/>
  <c r="L1861" i="3"/>
  <c r="L1862" i="3"/>
  <c r="L1863" i="3"/>
  <c r="L1864" i="3"/>
  <c r="L1865" i="3"/>
  <c r="L1866" i="3"/>
  <c r="L1867" i="3"/>
  <c r="L1868" i="3"/>
  <c r="L1869" i="3"/>
  <c r="L1870" i="3"/>
  <c r="L1871" i="3"/>
  <c r="L1872" i="3"/>
  <c r="L1873" i="3"/>
  <c r="L1874" i="3"/>
  <c r="L1875" i="3"/>
  <c r="L1876" i="3"/>
  <c r="L1877" i="3"/>
  <c r="L1878" i="3"/>
  <c r="L1879" i="3"/>
  <c r="L1880" i="3"/>
  <c r="L1881" i="3"/>
  <c r="L1882" i="3"/>
  <c r="L1883" i="3"/>
  <c r="L1884" i="3"/>
  <c r="L1885" i="3"/>
  <c r="L1886" i="3"/>
  <c r="L1887" i="3"/>
  <c r="L1888" i="3"/>
  <c r="L1889" i="3"/>
  <c r="L1890" i="3"/>
  <c r="L1891" i="3"/>
  <c r="L1892" i="3"/>
  <c r="L1893" i="3"/>
  <c r="L1894" i="3"/>
  <c r="L1895" i="3"/>
  <c r="L1896" i="3"/>
  <c r="L1897" i="3"/>
  <c r="L1898" i="3"/>
  <c r="L1899" i="3"/>
  <c r="L1900" i="3"/>
  <c r="L1901" i="3"/>
  <c r="L1902" i="3"/>
  <c r="L1903" i="3"/>
  <c r="L1904" i="3"/>
  <c r="L1905" i="3"/>
  <c r="L1906" i="3"/>
  <c r="L1907" i="3"/>
  <c r="L1908" i="3"/>
  <c r="L1909" i="3"/>
  <c r="L1910" i="3"/>
  <c r="L1911" i="3"/>
  <c r="L1912" i="3"/>
  <c r="L1913" i="3"/>
  <c r="L1914" i="3"/>
  <c r="L1915" i="3"/>
  <c r="L1916" i="3"/>
  <c r="L1917" i="3"/>
  <c r="L1918" i="3"/>
  <c r="L1919" i="3"/>
  <c r="L1920" i="3"/>
  <c r="L1921" i="3"/>
  <c r="L1922" i="3"/>
  <c r="L1923" i="3"/>
  <c r="L1924" i="3"/>
  <c r="L1925" i="3"/>
  <c r="L1926" i="3"/>
  <c r="L1927" i="3"/>
  <c r="L1928" i="3"/>
  <c r="L1929" i="3"/>
  <c r="L1930" i="3"/>
  <c r="L1931" i="3"/>
  <c r="L1932" i="3"/>
  <c r="L1933" i="3"/>
  <c r="L1934" i="3"/>
  <c r="L1935" i="3"/>
  <c r="L1936" i="3"/>
  <c r="L1937" i="3"/>
  <c r="L1938" i="3"/>
  <c r="L1939" i="3"/>
  <c r="L1940" i="3"/>
  <c r="L1941" i="3"/>
  <c r="L1942" i="3"/>
  <c r="L1943" i="3"/>
  <c r="L1944" i="3"/>
  <c r="L1945" i="3"/>
  <c r="L1946" i="3"/>
  <c r="L1947" i="3"/>
  <c r="L1948" i="3"/>
  <c r="L1949" i="3"/>
  <c r="L1950" i="3"/>
  <c r="L1951" i="3"/>
  <c r="L1952" i="3"/>
  <c r="L1953" i="3"/>
  <c r="L1954" i="3"/>
  <c r="L1955" i="3"/>
  <c r="L1956" i="3"/>
  <c r="L1957" i="3"/>
  <c r="L1958" i="3"/>
  <c r="L1959" i="3"/>
  <c r="L1960" i="3"/>
  <c r="L1961" i="3"/>
  <c r="L1962" i="3"/>
  <c r="L1963" i="3"/>
  <c r="L1964" i="3"/>
  <c r="L1965" i="3"/>
  <c r="L1966" i="3"/>
  <c r="L1967" i="3"/>
  <c r="L1968" i="3"/>
  <c r="L1969" i="3"/>
  <c r="L1970" i="3"/>
  <c r="L1971" i="3"/>
  <c r="L1972" i="3"/>
  <c r="L1973" i="3"/>
  <c r="L1974" i="3"/>
  <c r="L1975" i="3"/>
  <c r="L1976" i="3"/>
  <c r="L1977" i="3"/>
  <c r="L1978" i="3"/>
  <c r="L1979" i="3"/>
  <c r="L1980" i="3"/>
  <c r="L1981" i="3"/>
  <c r="L1982" i="3"/>
  <c r="L1983" i="3"/>
  <c r="L1984" i="3"/>
  <c r="L1985" i="3"/>
  <c r="L1986" i="3"/>
  <c r="L1987" i="3"/>
  <c r="L1988" i="3"/>
  <c r="L1989" i="3"/>
  <c r="L1990" i="3"/>
  <c r="L1991" i="3"/>
  <c r="L1992" i="3"/>
  <c r="L1993" i="3"/>
  <c r="L1994" i="3"/>
  <c r="L1995" i="3"/>
  <c r="L1996" i="3"/>
  <c r="L1997" i="3"/>
  <c r="L1998" i="3"/>
  <c r="L1999" i="3"/>
  <c r="L2000" i="3"/>
  <c r="L2001" i="3"/>
  <c r="L2002" i="3"/>
  <c r="L2003" i="3"/>
  <c r="L2004" i="3"/>
  <c r="K55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K90" i="3" s="1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J1005" i="3"/>
  <c r="J1006" i="3"/>
  <c r="J1007" i="3"/>
  <c r="J1008" i="3"/>
  <c r="J1009" i="3"/>
  <c r="J1010" i="3"/>
  <c r="J1011" i="3"/>
  <c r="J1012" i="3"/>
  <c r="J1013" i="3"/>
  <c r="J1014" i="3"/>
  <c r="J1015" i="3"/>
  <c r="J1016" i="3"/>
  <c r="J1017" i="3"/>
  <c r="J1018" i="3"/>
  <c r="J1019" i="3"/>
  <c r="J1020" i="3"/>
  <c r="J1021" i="3"/>
  <c r="J1022" i="3"/>
  <c r="J1023" i="3"/>
  <c r="J1024" i="3"/>
  <c r="J1025" i="3"/>
  <c r="J1026" i="3"/>
  <c r="J1027" i="3"/>
  <c r="J1028" i="3"/>
  <c r="J1029" i="3"/>
  <c r="J1030" i="3"/>
  <c r="J1031" i="3"/>
  <c r="J1032" i="3"/>
  <c r="J1033" i="3"/>
  <c r="J1034" i="3"/>
  <c r="J1035" i="3"/>
  <c r="J1036" i="3"/>
  <c r="J1037" i="3"/>
  <c r="J1038" i="3"/>
  <c r="J1039" i="3"/>
  <c r="J1040" i="3"/>
  <c r="J1041" i="3"/>
  <c r="J1042" i="3"/>
  <c r="J1043" i="3"/>
  <c r="J1044" i="3"/>
  <c r="J1045" i="3"/>
  <c r="J1046" i="3"/>
  <c r="J1047" i="3"/>
  <c r="J1048" i="3"/>
  <c r="J1049" i="3"/>
  <c r="J1050" i="3"/>
  <c r="J1051" i="3"/>
  <c r="J1052" i="3"/>
  <c r="J1053" i="3"/>
  <c r="J1054" i="3"/>
  <c r="J1055" i="3"/>
  <c r="J1056" i="3"/>
  <c r="J1057" i="3"/>
  <c r="J1058" i="3"/>
  <c r="J1059" i="3"/>
  <c r="J1060" i="3"/>
  <c r="J1061" i="3"/>
  <c r="J1062" i="3"/>
  <c r="J1063" i="3"/>
  <c r="J1064" i="3"/>
  <c r="J1065" i="3"/>
  <c r="J1066" i="3"/>
  <c r="J1067" i="3"/>
  <c r="J1068" i="3"/>
  <c r="J1069" i="3"/>
  <c r="J1070" i="3"/>
  <c r="J1071" i="3"/>
  <c r="J1072" i="3"/>
  <c r="J1073" i="3"/>
  <c r="J1074" i="3"/>
  <c r="J1075" i="3"/>
  <c r="J1076" i="3"/>
  <c r="J1077" i="3"/>
  <c r="J1078" i="3"/>
  <c r="J1079" i="3"/>
  <c r="J1080" i="3"/>
  <c r="J1081" i="3"/>
  <c r="J1082" i="3"/>
  <c r="J1083" i="3"/>
  <c r="J1084" i="3"/>
  <c r="J1085" i="3"/>
  <c r="J1086" i="3"/>
  <c r="J1087" i="3"/>
  <c r="J1088" i="3"/>
  <c r="J1089" i="3"/>
  <c r="J1090" i="3"/>
  <c r="J1091" i="3"/>
  <c r="J1092" i="3"/>
  <c r="J1093" i="3"/>
  <c r="J1094" i="3"/>
  <c r="J1095" i="3"/>
  <c r="J1096" i="3"/>
  <c r="J1097" i="3"/>
  <c r="J1098" i="3"/>
  <c r="J1099" i="3"/>
  <c r="J1100" i="3"/>
  <c r="J1101" i="3"/>
  <c r="J1102" i="3"/>
  <c r="J1103" i="3"/>
  <c r="J1104" i="3"/>
  <c r="J1105" i="3"/>
  <c r="J1106" i="3"/>
  <c r="J1107" i="3"/>
  <c r="J1108" i="3"/>
  <c r="J1109" i="3"/>
  <c r="J1110" i="3"/>
  <c r="J1111" i="3"/>
  <c r="J1112" i="3"/>
  <c r="J1113" i="3"/>
  <c r="J1114" i="3"/>
  <c r="J1115" i="3"/>
  <c r="J1116" i="3"/>
  <c r="J1117" i="3"/>
  <c r="J1118" i="3"/>
  <c r="J1119" i="3"/>
  <c r="J1120" i="3"/>
  <c r="J1121" i="3"/>
  <c r="J1122" i="3"/>
  <c r="J1123" i="3"/>
  <c r="J1124" i="3"/>
  <c r="J1125" i="3"/>
  <c r="J1126" i="3"/>
  <c r="J1127" i="3"/>
  <c r="J1128" i="3"/>
  <c r="J1129" i="3"/>
  <c r="J1130" i="3"/>
  <c r="J1131" i="3"/>
  <c r="J1132" i="3"/>
  <c r="J1133" i="3"/>
  <c r="J1134" i="3"/>
  <c r="J1135" i="3"/>
  <c r="J1136" i="3"/>
  <c r="J1137" i="3"/>
  <c r="J1138" i="3"/>
  <c r="J1139" i="3"/>
  <c r="J1140" i="3"/>
  <c r="J1141" i="3"/>
  <c r="J1142" i="3"/>
  <c r="J1143" i="3"/>
  <c r="J1144" i="3"/>
  <c r="J1145" i="3"/>
  <c r="J1146" i="3"/>
  <c r="J1147" i="3"/>
  <c r="J1148" i="3"/>
  <c r="J1149" i="3"/>
  <c r="J1150" i="3"/>
  <c r="J1151" i="3"/>
  <c r="J1152" i="3"/>
  <c r="J1153" i="3"/>
  <c r="J1154" i="3"/>
  <c r="J1155" i="3"/>
  <c r="J1156" i="3"/>
  <c r="J1157" i="3"/>
  <c r="J1158" i="3"/>
  <c r="J1159" i="3"/>
  <c r="J1160" i="3"/>
  <c r="J1161" i="3"/>
  <c r="J1162" i="3"/>
  <c r="J1163" i="3"/>
  <c r="J1164" i="3"/>
  <c r="J1165" i="3"/>
  <c r="J1166" i="3"/>
  <c r="J1167" i="3"/>
  <c r="J1168" i="3"/>
  <c r="J1169" i="3"/>
  <c r="J1170" i="3"/>
  <c r="J1171" i="3"/>
  <c r="J1172" i="3"/>
  <c r="J1173" i="3"/>
  <c r="J1174" i="3"/>
  <c r="J1175" i="3"/>
  <c r="J1176" i="3"/>
  <c r="J1177" i="3"/>
  <c r="J1178" i="3"/>
  <c r="J1179" i="3"/>
  <c r="J1180" i="3"/>
  <c r="J1181" i="3"/>
  <c r="J1182" i="3"/>
  <c r="J1183" i="3"/>
  <c r="J1184" i="3"/>
  <c r="J1185" i="3"/>
  <c r="J1186" i="3"/>
  <c r="J1187" i="3"/>
  <c r="J1188" i="3"/>
  <c r="J1189" i="3"/>
  <c r="J1190" i="3"/>
  <c r="J1191" i="3"/>
  <c r="J1192" i="3"/>
  <c r="J1193" i="3"/>
  <c r="J1194" i="3"/>
  <c r="J1195" i="3"/>
  <c r="J1196" i="3"/>
  <c r="J1197" i="3"/>
  <c r="J1198" i="3"/>
  <c r="J1199" i="3"/>
  <c r="J1200" i="3"/>
  <c r="J1201" i="3"/>
  <c r="J1202" i="3"/>
  <c r="J1203" i="3"/>
  <c r="J1204" i="3"/>
  <c r="J1205" i="3"/>
  <c r="J1206" i="3"/>
  <c r="J1207" i="3"/>
  <c r="J1208" i="3"/>
  <c r="J1209" i="3"/>
  <c r="J1210" i="3"/>
  <c r="J1211" i="3"/>
  <c r="J1212" i="3"/>
  <c r="J1213" i="3"/>
  <c r="J1214" i="3"/>
  <c r="J1215" i="3"/>
  <c r="J1216" i="3"/>
  <c r="J1217" i="3"/>
  <c r="J1218" i="3"/>
  <c r="J1219" i="3"/>
  <c r="J1220" i="3"/>
  <c r="J1221" i="3"/>
  <c r="J1222" i="3"/>
  <c r="J1223" i="3"/>
  <c r="J1224" i="3"/>
  <c r="J1225" i="3"/>
  <c r="J1226" i="3"/>
  <c r="J1227" i="3"/>
  <c r="J1228" i="3"/>
  <c r="J1229" i="3"/>
  <c r="J1230" i="3"/>
  <c r="J1231" i="3"/>
  <c r="J1232" i="3"/>
  <c r="J1233" i="3"/>
  <c r="J1234" i="3"/>
  <c r="J1235" i="3"/>
  <c r="J1236" i="3"/>
  <c r="J1237" i="3"/>
  <c r="J1238" i="3"/>
  <c r="J1239" i="3"/>
  <c r="J1240" i="3"/>
  <c r="J1241" i="3"/>
  <c r="J1242" i="3"/>
  <c r="J1243" i="3"/>
  <c r="J1244" i="3"/>
  <c r="J1245" i="3"/>
  <c r="J1246" i="3"/>
  <c r="J1247" i="3"/>
  <c r="J1248" i="3"/>
  <c r="J1249" i="3"/>
  <c r="J1250" i="3"/>
  <c r="J1251" i="3"/>
  <c r="J1252" i="3"/>
  <c r="J1253" i="3"/>
  <c r="J1254" i="3"/>
  <c r="J1255" i="3"/>
  <c r="J1256" i="3"/>
  <c r="J1257" i="3"/>
  <c r="J1258" i="3"/>
  <c r="J1259" i="3"/>
  <c r="J1260" i="3"/>
  <c r="J1261" i="3"/>
  <c r="J1262" i="3"/>
  <c r="J1263" i="3"/>
  <c r="J1264" i="3"/>
  <c r="J1265" i="3"/>
  <c r="J1266" i="3"/>
  <c r="J1267" i="3"/>
  <c r="J1268" i="3"/>
  <c r="J1269" i="3"/>
  <c r="J1270" i="3"/>
  <c r="J1271" i="3"/>
  <c r="J1272" i="3"/>
  <c r="J1273" i="3"/>
  <c r="J1274" i="3"/>
  <c r="J1275" i="3"/>
  <c r="J1276" i="3"/>
  <c r="J1277" i="3"/>
  <c r="J1278" i="3"/>
  <c r="J1279" i="3"/>
  <c r="J1280" i="3"/>
  <c r="J1281" i="3"/>
  <c r="J1282" i="3"/>
  <c r="J1283" i="3"/>
  <c r="J1284" i="3"/>
  <c r="J1285" i="3"/>
  <c r="J1286" i="3"/>
  <c r="J1287" i="3"/>
  <c r="J1288" i="3"/>
  <c r="J1289" i="3"/>
  <c r="J1290" i="3"/>
  <c r="J1291" i="3"/>
  <c r="J1292" i="3"/>
  <c r="J1293" i="3"/>
  <c r="J1294" i="3"/>
  <c r="J1295" i="3"/>
  <c r="J1296" i="3"/>
  <c r="J1297" i="3"/>
  <c r="J1298" i="3"/>
  <c r="J1299" i="3"/>
  <c r="J1300" i="3"/>
  <c r="J1301" i="3"/>
  <c r="J1302" i="3"/>
  <c r="J1303" i="3"/>
  <c r="J1304" i="3"/>
  <c r="J1305" i="3"/>
  <c r="J1306" i="3"/>
  <c r="J1307" i="3"/>
  <c r="J1308" i="3"/>
  <c r="J1309" i="3"/>
  <c r="J1310" i="3"/>
  <c r="J1311" i="3"/>
  <c r="J1312" i="3"/>
  <c r="J1313" i="3"/>
  <c r="J1314" i="3"/>
  <c r="J1315" i="3"/>
  <c r="J1316" i="3"/>
  <c r="J1317" i="3"/>
  <c r="J1318" i="3"/>
  <c r="J1319" i="3"/>
  <c r="J1320" i="3"/>
  <c r="J1321" i="3"/>
  <c r="J1322" i="3"/>
  <c r="J1323" i="3"/>
  <c r="J1324" i="3"/>
  <c r="J1325" i="3"/>
  <c r="J1326" i="3"/>
  <c r="J1327" i="3"/>
  <c r="J1328" i="3"/>
  <c r="J1329" i="3"/>
  <c r="J1330" i="3"/>
  <c r="J1331" i="3"/>
  <c r="J1332" i="3"/>
  <c r="J1333" i="3"/>
  <c r="J1334" i="3"/>
  <c r="J1335" i="3"/>
  <c r="J1336" i="3"/>
  <c r="J1337" i="3"/>
  <c r="J1338" i="3"/>
  <c r="J1339" i="3"/>
  <c r="J1340" i="3"/>
  <c r="J1341" i="3"/>
  <c r="J1342" i="3"/>
  <c r="J1343" i="3"/>
  <c r="J1344" i="3"/>
  <c r="J1345" i="3"/>
  <c r="J1346" i="3"/>
  <c r="J1347" i="3"/>
  <c r="J1348" i="3"/>
  <c r="J1349" i="3"/>
  <c r="J1350" i="3"/>
  <c r="J1351" i="3"/>
  <c r="J1352" i="3"/>
  <c r="J1353" i="3"/>
  <c r="J1354" i="3"/>
  <c r="J1355" i="3"/>
  <c r="J1356" i="3"/>
  <c r="J1357" i="3"/>
  <c r="J1358" i="3"/>
  <c r="J1359" i="3"/>
  <c r="J1360" i="3"/>
  <c r="J1361" i="3"/>
  <c r="J1362" i="3"/>
  <c r="J1363" i="3"/>
  <c r="J1364" i="3"/>
  <c r="J1365" i="3"/>
  <c r="J1366" i="3"/>
  <c r="J1367" i="3"/>
  <c r="J1368" i="3"/>
  <c r="J1369" i="3"/>
  <c r="J1370" i="3"/>
  <c r="J1371" i="3"/>
  <c r="J1372" i="3"/>
  <c r="J1373" i="3"/>
  <c r="J1374" i="3"/>
  <c r="J1375" i="3"/>
  <c r="J1376" i="3"/>
  <c r="J1377" i="3"/>
  <c r="J1378" i="3"/>
  <c r="J1379" i="3"/>
  <c r="J1380" i="3"/>
  <c r="J1381" i="3"/>
  <c r="J1382" i="3"/>
  <c r="J1383" i="3"/>
  <c r="J1384" i="3"/>
  <c r="J1385" i="3"/>
  <c r="J1386" i="3"/>
  <c r="J1387" i="3"/>
  <c r="J1388" i="3"/>
  <c r="J1389" i="3"/>
  <c r="J1390" i="3"/>
  <c r="J1391" i="3"/>
  <c r="J1392" i="3"/>
  <c r="J1393" i="3"/>
  <c r="J1394" i="3"/>
  <c r="J1395" i="3"/>
  <c r="J1396" i="3"/>
  <c r="J1397" i="3"/>
  <c r="J1398" i="3"/>
  <c r="J1399" i="3"/>
  <c r="J1400" i="3"/>
  <c r="J1401" i="3"/>
  <c r="J1402" i="3"/>
  <c r="J1403" i="3"/>
  <c r="J1404" i="3"/>
  <c r="J1405" i="3"/>
  <c r="J1406" i="3"/>
  <c r="J1407" i="3"/>
  <c r="J1408" i="3"/>
  <c r="J1409" i="3"/>
  <c r="J1410" i="3"/>
  <c r="J1411" i="3"/>
  <c r="J1412" i="3"/>
  <c r="J1413" i="3"/>
  <c r="J1414" i="3"/>
  <c r="J1415" i="3"/>
  <c r="J1416" i="3"/>
  <c r="J1417" i="3"/>
  <c r="J1418" i="3"/>
  <c r="J1419" i="3"/>
  <c r="J1420" i="3"/>
  <c r="J1421" i="3"/>
  <c r="J1422" i="3"/>
  <c r="J1423" i="3"/>
  <c r="J1424" i="3"/>
  <c r="J1425" i="3"/>
  <c r="J1426" i="3"/>
  <c r="J1427" i="3"/>
  <c r="J1428" i="3"/>
  <c r="J1429" i="3"/>
  <c r="J1430" i="3"/>
  <c r="J1431" i="3"/>
  <c r="J1432" i="3"/>
  <c r="J1433" i="3"/>
  <c r="J1434" i="3"/>
  <c r="J1435" i="3"/>
  <c r="J1436" i="3"/>
  <c r="J1437" i="3"/>
  <c r="J1438" i="3"/>
  <c r="J1439" i="3"/>
  <c r="J1440" i="3"/>
  <c r="J1441" i="3"/>
  <c r="J1442" i="3"/>
  <c r="J1443" i="3"/>
  <c r="J1444" i="3"/>
  <c r="J1445" i="3"/>
  <c r="J1446" i="3"/>
  <c r="J1447" i="3"/>
  <c r="J1448" i="3"/>
  <c r="J1449" i="3"/>
  <c r="J1450" i="3"/>
  <c r="J1451" i="3"/>
  <c r="J1452" i="3"/>
  <c r="J1453" i="3"/>
  <c r="J1454" i="3"/>
  <c r="J1455" i="3"/>
  <c r="J1456" i="3"/>
  <c r="J1457" i="3"/>
  <c r="J1458" i="3"/>
  <c r="J1459" i="3"/>
  <c r="J1460" i="3"/>
  <c r="J1461" i="3"/>
  <c r="J1462" i="3"/>
  <c r="J1463" i="3"/>
  <c r="J1464" i="3"/>
  <c r="J1465" i="3"/>
  <c r="J1466" i="3"/>
  <c r="J1467" i="3"/>
  <c r="J1468" i="3"/>
  <c r="J1469" i="3"/>
  <c r="J1470" i="3"/>
  <c r="J1471" i="3"/>
  <c r="J1472" i="3"/>
  <c r="J1473" i="3"/>
  <c r="J1474" i="3"/>
  <c r="J1475" i="3"/>
  <c r="J1476" i="3"/>
  <c r="J1477" i="3"/>
  <c r="J1478" i="3"/>
  <c r="J1479" i="3"/>
  <c r="J1480" i="3"/>
  <c r="J1481" i="3"/>
  <c r="J1482" i="3"/>
  <c r="J1483" i="3"/>
  <c r="J1484" i="3"/>
  <c r="J1485" i="3"/>
  <c r="J1486" i="3"/>
  <c r="J1487" i="3"/>
  <c r="J1488" i="3"/>
  <c r="J1489" i="3"/>
  <c r="J1490" i="3"/>
  <c r="J1491" i="3"/>
  <c r="J1492" i="3"/>
  <c r="J1493" i="3"/>
  <c r="J1494" i="3"/>
  <c r="J1495" i="3"/>
  <c r="J1496" i="3"/>
  <c r="J1497" i="3"/>
  <c r="J1498" i="3"/>
  <c r="J1499" i="3"/>
  <c r="J1500" i="3"/>
  <c r="J1501" i="3"/>
  <c r="J1502" i="3"/>
  <c r="J1503" i="3"/>
  <c r="J1504" i="3"/>
  <c r="J1505" i="3"/>
  <c r="J1506" i="3"/>
  <c r="J1507" i="3"/>
  <c r="J1508" i="3"/>
  <c r="J1509" i="3"/>
  <c r="J1510" i="3"/>
  <c r="J1511" i="3"/>
  <c r="J1512" i="3"/>
  <c r="J1513" i="3"/>
  <c r="J1514" i="3"/>
  <c r="J1515" i="3"/>
  <c r="J1516" i="3"/>
  <c r="J1517" i="3"/>
  <c r="J1518" i="3"/>
  <c r="J1519" i="3"/>
  <c r="J1520" i="3"/>
  <c r="J1521" i="3"/>
  <c r="J1522" i="3"/>
  <c r="J1523" i="3"/>
  <c r="J1524" i="3"/>
  <c r="J1525" i="3"/>
  <c r="J1526" i="3"/>
  <c r="J1527" i="3"/>
  <c r="J1528" i="3"/>
  <c r="J1529" i="3"/>
  <c r="J1530" i="3"/>
  <c r="J1531" i="3"/>
  <c r="J1532" i="3"/>
  <c r="J1533" i="3"/>
  <c r="J1534" i="3"/>
  <c r="J1535" i="3"/>
  <c r="J1536" i="3"/>
  <c r="J1537" i="3"/>
  <c r="J1538" i="3"/>
  <c r="J1539" i="3"/>
  <c r="J1540" i="3"/>
  <c r="J1541" i="3"/>
  <c r="J1542" i="3"/>
  <c r="J1543" i="3"/>
  <c r="J1544" i="3"/>
  <c r="J1545" i="3"/>
  <c r="J1546" i="3"/>
  <c r="J1547" i="3"/>
  <c r="J1548" i="3"/>
  <c r="J1549" i="3"/>
  <c r="J1550" i="3"/>
  <c r="J1551" i="3"/>
  <c r="J1552" i="3"/>
  <c r="J1553" i="3"/>
  <c r="J1554" i="3"/>
  <c r="J1555" i="3"/>
  <c r="J1556" i="3"/>
  <c r="J1557" i="3"/>
  <c r="J1558" i="3"/>
  <c r="J1559" i="3"/>
  <c r="J1560" i="3"/>
  <c r="J1561" i="3"/>
  <c r="J1562" i="3"/>
  <c r="J1563" i="3"/>
  <c r="J1564" i="3"/>
  <c r="J1565" i="3"/>
  <c r="J1566" i="3"/>
  <c r="J1567" i="3"/>
  <c r="J1568" i="3"/>
  <c r="J1569" i="3"/>
  <c r="J1570" i="3"/>
  <c r="J1571" i="3"/>
  <c r="J1572" i="3"/>
  <c r="J1573" i="3"/>
  <c r="J1574" i="3"/>
  <c r="J1575" i="3"/>
  <c r="J1576" i="3"/>
  <c r="J1577" i="3"/>
  <c r="J1578" i="3"/>
  <c r="J1579" i="3"/>
  <c r="J1580" i="3"/>
  <c r="J1581" i="3"/>
  <c r="J1582" i="3"/>
  <c r="J1583" i="3"/>
  <c r="J1584" i="3"/>
  <c r="J1585" i="3"/>
  <c r="J1586" i="3"/>
  <c r="J1587" i="3"/>
  <c r="J1588" i="3"/>
  <c r="J1589" i="3"/>
  <c r="J1590" i="3"/>
  <c r="J1591" i="3"/>
  <c r="J1592" i="3"/>
  <c r="J1593" i="3"/>
  <c r="J1594" i="3"/>
  <c r="J1595" i="3"/>
  <c r="J1596" i="3"/>
  <c r="J1597" i="3"/>
  <c r="J1598" i="3"/>
  <c r="J1599" i="3"/>
  <c r="J1600" i="3"/>
  <c r="J1601" i="3"/>
  <c r="J1602" i="3"/>
  <c r="J1603" i="3"/>
  <c r="J1604" i="3"/>
  <c r="J1605" i="3"/>
  <c r="J1606" i="3"/>
  <c r="J1607" i="3"/>
  <c r="J1608" i="3"/>
  <c r="J1609" i="3"/>
  <c r="J1610" i="3"/>
  <c r="J1611" i="3"/>
  <c r="J1612" i="3"/>
  <c r="J1613" i="3"/>
  <c r="J1614" i="3"/>
  <c r="J1615" i="3"/>
  <c r="J1616" i="3"/>
  <c r="J1617" i="3"/>
  <c r="J1618" i="3"/>
  <c r="J1619" i="3"/>
  <c r="J1620" i="3"/>
  <c r="J1621" i="3"/>
  <c r="J1622" i="3"/>
  <c r="J1623" i="3"/>
  <c r="J1624" i="3"/>
  <c r="J1625" i="3"/>
  <c r="J1626" i="3"/>
  <c r="J1627" i="3"/>
  <c r="J1628" i="3"/>
  <c r="J1629" i="3"/>
  <c r="J1630" i="3"/>
  <c r="J1631" i="3"/>
  <c r="J1632" i="3"/>
  <c r="J1633" i="3"/>
  <c r="J1634" i="3"/>
  <c r="J1635" i="3"/>
  <c r="J1636" i="3"/>
  <c r="J1637" i="3"/>
  <c r="J1638" i="3"/>
  <c r="J1639" i="3"/>
  <c r="J1640" i="3"/>
  <c r="J1641" i="3"/>
  <c r="J1642" i="3"/>
  <c r="J1643" i="3"/>
  <c r="J1644" i="3"/>
  <c r="J1645" i="3"/>
  <c r="J1646" i="3"/>
  <c r="J1647" i="3"/>
  <c r="J1648" i="3"/>
  <c r="J1649" i="3"/>
  <c r="J1650" i="3"/>
  <c r="J1651" i="3"/>
  <c r="J1652" i="3"/>
  <c r="J1653" i="3"/>
  <c r="J1654" i="3"/>
  <c r="J1655" i="3"/>
  <c r="J1656" i="3"/>
  <c r="J1657" i="3"/>
  <c r="J1658" i="3"/>
  <c r="J1659" i="3"/>
  <c r="J1660" i="3"/>
  <c r="J1661" i="3"/>
  <c r="J1662" i="3"/>
  <c r="J1663" i="3"/>
  <c r="J1664" i="3"/>
  <c r="J1665" i="3"/>
  <c r="J1666" i="3"/>
  <c r="J1667" i="3"/>
  <c r="J1668" i="3"/>
  <c r="J1669" i="3"/>
  <c r="J1670" i="3"/>
  <c r="J1671" i="3"/>
  <c r="J1672" i="3"/>
  <c r="J1673" i="3"/>
  <c r="J1674" i="3"/>
  <c r="J1675" i="3"/>
  <c r="J1676" i="3"/>
  <c r="J1677" i="3"/>
  <c r="J1678" i="3"/>
  <c r="J1679" i="3"/>
  <c r="J1680" i="3"/>
  <c r="J1681" i="3"/>
  <c r="J1682" i="3"/>
  <c r="J1683" i="3"/>
  <c r="J1684" i="3"/>
  <c r="J1685" i="3"/>
  <c r="J1686" i="3"/>
  <c r="J1687" i="3"/>
  <c r="J1688" i="3"/>
  <c r="J1689" i="3"/>
  <c r="J1690" i="3"/>
  <c r="J1691" i="3"/>
  <c r="J1692" i="3"/>
  <c r="J1693" i="3"/>
  <c r="J1694" i="3"/>
  <c r="J1695" i="3"/>
  <c r="J1696" i="3"/>
  <c r="J1697" i="3"/>
  <c r="J1698" i="3"/>
  <c r="J1699" i="3"/>
  <c r="J1700" i="3"/>
  <c r="J1701" i="3"/>
  <c r="J1702" i="3"/>
  <c r="J1703" i="3"/>
  <c r="J1704" i="3"/>
  <c r="J1705" i="3"/>
  <c r="J1706" i="3"/>
  <c r="J1707" i="3"/>
  <c r="J1708" i="3"/>
  <c r="J1709" i="3"/>
  <c r="J1710" i="3"/>
  <c r="J1711" i="3"/>
  <c r="J1712" i="3"/>
  <c r="J1713" i="3"/>
  <c r="J1714" i="3"/>
  <c r="J1715" i="3"/>
  <c r="J1716" i="3"/>
  <c r="J1717" i="3"/>
  <c r="J1718" i="3"/>
  <c r="J1719" i="3"/>
  <c r="J1720" i="3"/>
  <c r="J1721" i="3"/>
  <c r="J1722" i="3"/>
  <c r="J1723" i="3"/>
  <c r="J1724" i="3"/>
  <c r="J1725" i="3"/>
  <c r="J1726" i="3"/>
  <c r="J1727" i="3"/>
  <c r="J1728" i="3"/>
  <c r="J1729" i="3"/>
  <c r="J1730" i="3"/>
  <c r="J1731" i="3"/>
  <c r="J1732" i="3"/>
  <c r="J1733" i="3"/>
  <c r="J1734" i="3"/>
  <c r="J1735" i="3"/>
  <c r="J1736" i="3"/>
  <c r="J1737" i="3"/>
  <c r="J1738" i="3"/>
  <c r="J1739" i="3"/>
  <c r="J1740" i="3"/>
  <c r="J1741" i="3"/>
  <c r="J1742" i="3"/>
  <c r="J1743" i="3"/>
  <c r="J1744" i="3"/>
  <c r="J1745" i="3"/>
  <c r="J1746" i="3"/>
  <c r="J1747" i="3"/>
  <c r="J1748" i="3"/>
  <c r="J1749" i="3"/>
  <c r="J1750" i="3"/>
  <c r="J1751" i="3"/>
  <c r="J1752" i="3"/>
  <c r="J1753" i="3"/>
  <c r="J1754" i="3"/>
  <c r="J1755" i="3"/>
  <c r="J1756" i="3"/>
  <c r="J1757" i="3"/>
  <c r="J1758" i="3"/>
  <c r="J1759" i="3"/>
  <c r="J1760" i="3"/>
  <c r="J1761" i="3"/>
  <c r="J1762" i="3"/>
  <c r="J1763" i="3"/>
  <c r="J1764" i="3"/>
  <c r="J1765" i="3"/>
  <c r="J1766" i="3"/>
  <c r="J1767" i="3"/>
  <c r="J1768" i="3"/>
  <c r="J1769" i="3"/>
  <c r="J1770" i="3"/>
  <c r="J1771" i="3"/>
  <c r="J1772" i="3"/>
  <c r="J1773" i="3"/>
  <c r="J1774" i="3"/>
  <c r="J1775" i="3"/>
  <c r="J1776" i="3"/>
  <c r="J1777" i="3"/>
  <c r="J1778" i="3"/>
  <c r="J1779" i="3"/>
  <c r="J1780" i="3"/>
  <c r="J1781" i="3"/>
  <c r="J1782" i="3"/>
  <c r="J1783" i="3"/>
  <c r="J1784" i="3"/>
  <c r="J1785" i="3"/>
  <c r="J1786" i="3"/>
  <c r="J1787" i="3"/>
  <c r="J1788" i="3"/>
  <c r="J1789" i="3"/>
  <c r="J1790" i="3"/>
  <c r="J1791" i="3"/>
  <c r="J1792" i="3"/>
  <c r="J1793" i="3"/>
  <c r="J1794" i="3"/>
  <c r="J1795" i="3"/>
  <c r="J1796" i="3"/>
  <c r="J1797" i="3"/>
  <c r="J1798" i="3"/>
  <c r="J1799" i="3"/>
  <c r="J1800" i="3"/>
  <c r="J1801" i="3"/>
  <c r="J1802" i="3"/>
  <c r="J1803" i="3"/>
  <c r="J1804" i="3"/>
  <c r="J1805" i="3"/>
  <c r="J1806" i="3"/>
  <c r="J1807" i="3"/>
  <c r="J1808" i="3"/>
  <c r="J1809" i="3"/>
  <c r="J1810" i="3"/>
  <c r="J1811" i="3"/>
  <c r="J1812" i="3"/>
  <c r="J1813" i="3"/>
  <c r="J1814" i="3"/>
  <c r="J1815" i="3"/>
  <c r="J1816" i="3"/>
  <c r="J1817" i="3"/>
  <c r="J1818" i="3"/>
  <c r="J1819" i="3"/>
  <c r="J1820" i="3"/>
  <c r="J1821" i="3"/>
  <c r="J1822" i="3"/>
  <c r="J1823" i="3"/>
  <c r="J1824" i="3"/>
  <c r="J1825" i="3"/>
  <c r="J1826" i="3"/>
  <c r="J1827" i="3"/>
  <c r="J1828" i="3"/>
  <c r="J1829" i="3"/>
  <c r="J1830" i="3"/>
  <c r="J1831" i="3"/>
  <c r="J1832" i="3"/>
  <c r="J1833" i="3"/>
  <c r="J1834" i="3"/>
  <c r="J1835" i="3"/>
  <c r="J1836" i="3"/>
  <c r="J1837" i="3"/>
  <c r="J1838" i="3"/>
  <c r="J1839" i="3"/>
  <c r="J1840" i="3"/>
  <c r="J1841" i="3"/>
  <c r="J1842" i="3"/>
  <c r="J1843" i="3"/>
  <c r="J1844" i="3"/>
  <c r="J1845" i="3"/>
  <c r="J1846" i="3"/>
  <c r="J1847" i="3"/>
  <c r="J1848" i="3"/>
  <c r="J1849" i="3"/>
  <c r="J1850" i="3"/>
  <c r="J1851" i="3"/>
  <c r="J1852" i="3"/>
  <c r="J1853" i="3"/>
  <c r="J1854" i="3"/>
  <c r="J1855" i="3"/>
  <c r="J1856" i="3"/>
  <c r="J1857" i="3"/>
  <c r="J1858" i="3"/>
  <c r="J1859" i="3"/>
  <c r="J1860" i="3"/>
  <c r="J1861" i="3"/>
  <c r="J1862" i="3"/>
  <c r="J1863" i="3"/>
  <c r="J1864" i="3"/>
  <c r="J1865" i="3"/>
  <c r="J1866" i="3"/>
  <c r="J1867" i="3"/>
  <c r="J1868" i="3"/>
  <c r="J1869" i="3"/>
  <c r="J1870" i="3"/>
  <c r="J1871" i="3"/>
  <c r="J1872" i="3"/>
  <c r="J1873" i="3"/>
  <c r="J1874" i="3"/>
  <c r="J1875" i="3"/>
  <c r="J1876" i="3"/>
  <c r="J1877" i="3"/>
  <c r="J1878" i="3"/>
  <c r="J1879" i="3"/>
  <c r="J1880" i="3"/>
  <c r="J1881" i="3"/>
  <c r="J1882" i="3"/>
  <c r="J1883" i="3"/>
  <c r="J1884" i="3"/>
  <c r="J1885" i="3"/>
  <c r="J1886" i="3"/>
  <c r="J1887" i="3"/>
  <c r="J1888" i="3"/>
  <c r="J1889" i="3"/>
  <c r="J1890" i="3"/>
  <c r="J1891" i="3"/>
  <c r="J1892" i="3"/>
  <c r="J1893" i="3"/>
  <c r="J1894" i="3"/>
  <c r="J1895" i="3"/>
  <c r="J1896" i="3"/>
  <c r="J1897" i="3"/>
  <c r="J1898" i="3"/>
  <c r="J1899" i="3"/>
  <c r="J1900" i="3"/>
  <c r="J1901" i="3"/>
  <c r="J1902" i="3"/>
  <c r="J1903" i="3"/>
  <c r="J1904" i="3"/>
  <c r="J1905" i="3"/>
  <c r="J1906" i="3"/>
  <c r="J1907" i="3"/>
  <c r="J1908" i="3"/>
  <c r="J1909" i="3"/>
  <c r="J1910" i="3"/>
  <c r="J1911" i="3"/>
  <c r="J1912" i="3"/>
  <c r="J1913" i="3"/>
  <c r="J1914" i="3"/>
  <c r="J1915" i="3"/>
  <c r="J1916" i="3"/>
  <c r="J1917" i="3"/>
  <c r="J1918" i="3"/>
  <c r="J1919" i="3"/>
  <c r="J1920" i="3"/>
  <c r="J1921" i="3"/>
  <c r="J1922" i="3"/>
  <c r="J1923" i="3"/>
  <c r="J1924" i="3"/>
  <c r="J1925" i="3"/>
  <c r="J1926" i="3"/>
  <c r="J1927" i="3"/>
  <c r="J1928" i="3"/>
  <c r="J1929" i="3"/>
  <c r="J1930" i="3"/>
  <c r="J1931" i="3"/>
  <c r="J1932" i="3"/>
  <c r="J1933" i="3"/>
  <c r="J1934" i="3"/>
  <c r="J1935" i="3"/>
  <c r="J1936" i="3"/>
  <c r="J1937" i="3"/>
  <c r="J1938" i="3"/>
  <c r="J1939" i="3"/>
  <c r="J1940" i="3"/>
  <c r="J1941" i="3"/>
  <c r="J1942" i="3"/>
  <c r="J1943" i="3"/>
  <c r="J1944" i="3"/>
  <c r="J1945" i="3"/>
  <c r="J1946" i="3"/>
  <c r="J1947" i="3"/>
  <c r="J1948" i="3"/>
  <c r="J1949" i="3"/>
  <c r="J1950" i="3"/>
  <c r="J1951" i="3"/>
  <c r="J1952" i="3"/>
  <c r="J1953" i="3"/>
  <c r="J1954" i="3"/>
  <c r="J1955" i="3"/>
  <c r="J1956" i="3"/>
  <c r="J1957" i="3"/>
  <c r="J1958" i="3"/>
  <c r="J1959" i="3"/>
  <c r="J1960" i="3"/>
  <c r="J1961" i="3"/>
  <c r="J1962" i="3"/>
  <c r="J1963" i="3"/>
  <c r="J1964" i="3"/>
  <c r="J1965" i="3"/>
  <c r="J1966" i="3"/>
  <c r="J1967" i="3"/>
  <c r="J1968" i="3"/>
  <c r="J1969" i="3"/>
  <c r="J1970" i="3"/>
  <c r="J1971" i="3"/>
  <c r="J1972" i="3"/>
  <c r="J1973" i="3"/>
  <c r="J1974" i="3"/>
  <c r="J1975" i="3"/>
  <c r="J1976" i="3"/>
  <c r="J1977" i="3"/>
  <c r="J1978" i="3"/>
  <c r="J1979" i="3"/>
  <c r="J1980" i="3"/>
  <c r="J1981" i="3"/>
  <c r="J1982" i="3"/>
  <c r="J1983" i="3"/>
  <c r="J1984" i="3"/>
  <c r="J1985" i="3"/>
  <c r="J1986" i="3"/>
  <c r="J1987" i="3"/>
  <c r="J1988" i="3"/>
  <c r="J1989" i="3"/>
  <c r="J1990" i="3"/>
  <c r="J1991" i="3"/>
  <c r="J1992" i="3"/>
  <c r="J1993" i="3"/>
  <c r="J1994" i="3"/>
  <c r="J1995" i="3"/>
  <c r="J1996" i="3"/>
  <c r="J1997" i="3"/>
  <c r="J1998" i="3"/>
  <c r="J1999" i="3"/>
  <c r="J2000" i="3"/>
  <c r="J2001" i="3"/>
  <c r="J2002" i="3"/>
  <c r="J2003" i="3"/>
  <c r="J200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3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3" i="3"/>
  <c r="E1674" i="3"/>
  <c r="E1675" i="3"/>
  <c r="E1676" i="3"/>
  <c r="E1677" i="3"/>
  <c r="E1678" i="3"/>
  <c r="E1679" i="3"/>
  <c r="E1680" i="3"/>
  <c r="E1681" i="3"/>
  <c r="E1682" i="3"/>
  <c r="E1683" i="3"/>
  <c r="E1684" i="3"/>
  <c r="E1685" i="3"/>
  <c r="E1686" i="3"/>
  <c r="E1687" i="3"/>
  <c r="E1688" i="3"/>
  <c r="E1689" i="3"/>
  <c r="E1690" i="3"/>
  <c r="E1691" i="3"/>
  <c r="E1692" i="3"/>
  <c r="E1693" i="3"/>
  <c r="E1694" i="3"/>
  <c r="E1695" i="3"/>
  <c r="E1696" i="3"/>
  <c r="E1697" i="3"/>
  <c r="E1698" i="3"/>
  <c r="E1699" i="3"/>
  <c r="E1700" i="3"/>
  <c r="E1701" i="3"/>
  <c r="E1702" i="3"/>
  <c r="E1703" i="3"/>
  <c r="E1704" i="3"/>
  <c r="E1705" i="3"/>
  <c r="E1706" i="3"/>
  <c r="E1707" i="3"/>
  <c r="E1708" i="3"/>
  <c r="E1709" i="3"/>
  <c r="E1710" i="3"/>
  <c r="E1711" i="3"/>
  <c r="E1712" i="3"/>
  <c r="E1713" i="3"/>
  <c r="E1714" i="3"/>
  <c r="E1715" i="3"/>
  <c r="E1716" i="3"/>
  <c r="E1717" i="3"/>
  <c r="E1718" i="3"/>
  <c r="E1719" i="3"/>
  <c r="E1720" i="3"/>
  <c r="E1721" i="3"/>
  <c r="E1722" i="3"/>
  <c r="E1723" i="3"/>
  <c r="E1724" i="3"/>
  <c r="E1725" i="3"/>
  <c r="E1726" i="3"/>
  <c r="E1727" i="3"/>
  <c r="E1728" i="3"/>
  <c r="E1729" i="3"/>
  <c r="E1730" i="3"/>
  <c r="E1731" i="3"/>
  <c r="E1732" i="3"/>
  <c r="E1733" i="3"/>
  <c r="E1734" i="3"/>
  <c r="E1735" i="3"/>
  <c r="E1736" i="3"/>
  <c r="E1737" i="3"/>
  <c r="E1738" i="3"/>
  <c r="E1739" i="3"/>
  <c r="E1740" i="3"/>
  <c r="E1741" i="3"/>
  <c r="E1742" i="3"/>
  <c r="E1743" i="3"/>
  <c r="E1744" i="3"/>
  <c r="E1745" i="3"/>
  <c r="E1746" i="3"/>
  <c r="E1747" i="3"/>
  <c r="E1748" i="3"/>
  <c r="E1749" i="3"/>
  <c r="E1750" i="3"/>
  <c r="E1751" i="3"/>
  <c r="E1752" i="3"/>
  <c r="E1753" i="3"/>
  <c r="E1754" i="3"/>
  <c r="E1755" i="3"/>
  <c r="E1756" i="3"/>
  <c r="E1757" i="3"/>
  <c r="E1758" i="3"/>
  <c r="E1759" i="3"/>
  <c r="E1760" i="3"/>
  <c r="E1761" i="3"/>
  <c r="E1762" i="3"/>
  <c r="E1763" i="3"/>
  <c r="E1764" i="3"/>
  <c r="E1765" i="3"/>
  <c r="E1766" i="3"/>
  <c r="E1767" i="3"/>
  <c r="E1768" i="3"/>
  <c r="E1769" i="3"/>
  <c r="E1770" i="3"/>
  <c r="E1771" i="3"/>
  <c r="E1772" i="3"/>
  <c r="E1773" i="3"/>
  <c r="E1774" i="3"/>
  <c r="E1775" i="3"/>
  <c r="E1776" i="3"/>
  <c r="E1777" i="3"/>
  <c r="E1778" i="3"/>
  <c r="E1779" i="3"/>
  <c r="E1780" i="3"/>
  <c r="E1781" i="3"/>
  <c r="E1782" i="3"/>
  <c r="E1783" i="3"/>
  <c r="E1784" i="3"/>
  <c r="E1785" i="3"/>
  <c r="E1786" i="3"/>
  <c r="E1787" i="3"/>
  <c r="E1788" i="3"/>
  <c r="E1789" i="3"/>
  <c r="E1790" i="3"/>
  <c r="E1791" i="3"/>
  <c r="E1792" i="3"/>
  <c r="E1793" i="3"/>
  <c r="E1794" i="3"/>
  <c r="E1795" i="3"/>
  <c r="E1796" i="3"/>
  <c r="E1797" i="3"/>
  <c r="E1798" i="3"/>
  <c r="E1799" i="3"/>
  <c r="E1800" i="3"/>
  <c r="E1801" i="3"/>
  <c r="E1802" i="3"/>
  <c r="E1803" i="3"/>
  <c r="E1804" i="3"/>
  <c r="E1805" i="3"/>
  <c r="E1806" i="3"/>
  <c r="E1807" i="3"/>
  <c r="E1808" i="3"/>
  <c r="E1809" i="3"/>
  <c r="E1810" i="3"/>
  <c r="E1811" i="3"/>
  <c r="E1812" i="3"/>
  <c r="E1813" i="3"/>
  <c r="E1814" i="3"/>
  <c r="E1815" i="3"/>
  <c r="E1816" i="3"/>
  <c r="E1817" i="3"/>
  <c r="E1818" i="3"/>
  <c r="E1819" i="3"/>
  <c r="E1820" i="3"/>
  <c r="E1821" i="3"/>
  <c r="E1822" i="3"/>
  <c r="E1823" i="3"/>
  <c r="E1824" i="3"/>
  <c r="E1825" i="3"/>
  <c r="E1826" i="3"/>
  <c r="E1827" i="3"/>
  <c r="E1828" i="3"/>
  <c r="E1829" i="3"/>
  <c r="E1830" i="3"/>
  <c r="E1831" i="3"/>
  <c r="E1832" i="3"/>
  <c r="E1833" i="3"/>
  <c r="E1834" i="3"/>
  <c r="E1835" i="3"/>
  <c r="E1836" i="3"/>
  <c r="E1837" i="3"/>
  <c r="E1838" i="3"/>
  <c r="E1839" i="3"/>
  <c r="E1840" i="3"/>
  <c r="E1841" i="3"/>
  <c r="E1842" i="3"/>
  <c r="E1843" i="3"/>
  <c r="E1844" i="3"/>
  <c r="E1845" i="3"/>
  <c r="E1846" i="3"/>
  <c r="E1847" i="3"/>
  <c r="E1848" i="3"/>
  <c r="E1849" i="3"/>
  <c r="E1850" i="3"/>
  <c r="E1851" i="3"/>
  <c r="E1852" i="3"/>
  <c r="E1853" i="3"/>
  <c r="E1854" i="3"/>
  <c r="E1855" i="3"/>
  <c r="E1856" i="3"/>
  <c r="E1857" i="3"/>
  <c r="E1858" i="3"/>
  <c r="E1859" i="3"/>
  <c r="E1860" i="3"/>
  <c r="E1861" i="3"/>
  <c r="E1862" i="3"/>
  <c r="E1863" i="3"/>
  <c r="E1864" i="3"/>
  <c r="E1865" i="3"/>
  <c r="E1866" i="3"/>
  <c r="E1867" i="3"/>
  <c r="E1868" i="3"/>
  <c r="E1869" i="3"/>
  <c r="E1870" i="3"/>
  <c r="E1871" i="3"/>
  <c r="E1872" i="3"/>
  <c r="E1873" i="3"/>
  <c r="E1874" i="3"/>
  <c r="E1875" i="3"/>
  <c r="E1876" i="3"/>
  <c r="E1877" i="3"/>
  <c r="E1878" i="3"/>
  <c r="E1879" i="3"/>
  <c r="E1880" i="3"/>
  <c r="E1881" i="3"/>
  <c r="E1882" i="3"/>
  <c r="E1883" i="3"/>
  <c r="E1884" i="3"/>
  <c r="E1885" i="3"/>
  <c r="E1886" i="3"/>
  <c r="E1887" i="3"/>
  <c r="E1888" i="3"/>
  <c r="E1889" i="3"/>
  <c r="E1890" i="3"/>
  <c r="E1891" i="3"/>
  <c r="E1892" i="3"/>
  <c r="E1893" i="3"/>
  <c r="E1894" i="3"/>
  <c r="E1895" i="3"/>
  <c r="E1896" i="3"/>
  <c r="E1897" i="3"/>
  <c r="E1898" i="3"/>
  <c r="E1899" i="3"/>
  <c r="E1900" i="3"/>
  <c r="E1901" i="3"/>
  <c r="E1902" i="3"/>
  <c r="E1903" i="3"/>
  <c r="E1904" i="3"/>
  <c r="E1905" i="3"/>
  <c r="E1906" i="3"/>
  <c r="E1907" i="3"/>
  <c r="E1908" i="3"/>
  <c r="E1909" i="3"/>
  <c r="E1910" i="3"/>
  <c r="E1911" i="3"/>
  <c r="E1912" i="3"/>
  <c r="E1913" i="3"/>
  <c r="E1914" i="3"/>
  <c r="E1915" i="3"/>
  <c r="E1916" i="3"/>
  <c r="E1917" i="3"/>
  <c r="E1918" i="3"/>
  <c r="E1919" i="3"/>
  <c r="E1920" i="3"/>
  <c r="E1921" i="3"/>
  <c r="E1922" i="3"/>
  <c r="E1923" i="3"/>
  <c r="E1924" i="3"/>
  <c r="E1925" i="3"/>
  <c r="E1926" i="3"/>
  <c r="E1927" i="3"/>
  <c r="E1928" i="3"/>
  <c r="E1929" i="3"/>
  <c r="E1930" i="3"/>
  <c r="E1931" i="3"/>
  <c r="E1932" i="3"/>
  <c r="E1933" i="3"/>
  <c r="E1934" i="3"/>
  <c r="E1935" i="3"/>
  <c r="E1936" i="3"/>
  <c r="E1937" i="3"/>
  <c r="E1938" i="3"/>
  <c r="E1939" i="3"/>
  <c r="E1940" i="3"/>
  <c r="E1941" i="3"/>
  <c r="E1942" i="3"/>
  <c r="E1943" i="3"/>
  <c r="E1944" i="3"/>
  <c r="E1945" i="3"/>
  <c r="E1946" i="3"/>
  <c r="E1947" i="3"/>
  <c r="E1948" i="3"/>
  <c r="E1949" i="3"/>
  <c r="E1950" i="3"/>
  <c r="E1951" i="3"/>
  <c r="E1952" i="3"/>
  <c r="E1953" i="3"/>
  <c r="E1954" i="3"/>
  <c r="E1955" i="3"/>
  <c r="E1956" i="3"/>
  <c r="E1957" i="3"/>
  <c r="E1958" i="3"/>
  <c r="E1959" i="3"/>
  <c r="E1960" i="3"/>
  <c r="E1961" i="3"/>
  <c r="E1962" i="3"/>
  <c r="E1963" i="3"/>
  <c r="E1964" i="3"/>
  <c r="E1965" i="3"/>
  <c r="E1966" i="3"/>
  <c r="E1967" i="3"/>
  <c r="E1968" i="3"/>
  <c r="E1969" i="3"/>
  <c r="E1970" i="3"/>
  <c r="E1971" i="3"/>
  <c r="E1972" i="3"/>
  <c r="E1973" i="3"/>
  <c r="E1974" i="3"/>
  <c r="E1975" i="3"/>
  <c r="E1976" i="3"/>
  <c r="E1977" i="3"/>
  <c r="E1978" i="3"/>
  <c r="E1979" i="3"/>
  <c r="E1980" i="3"/>
  <c r="E1981" i="3"/>
  <c r="E1982" i="3"/>
  <c r="E1983" i="3"/>
  <c r="E1984" i="3"/>
  <c r="E1985" i="3"/>
  <c r="E1986" i="3"/>
  <c r="E1987" i="3"/>
  <c r="E1988" i="3"/>
  <c r="E1989" i="3"/>
  <c r="E1990" i="3"/>
  <c r="E1991" i="3"/>
  <c r="E1992" i="3"/>
  <c r="E1993" i="3"/>
  <c r="E1994" i="3"/>
  <c r="E1995" i="3"/>
  <c r="E1996" i="3"/>
  <c r="E1997" i="3"/>
  <c r="E1998" i="3"/>
  <c r="E1999" i="3"/>
  <c r="E2000" i="3"/>
  <c r="E2001" i="3"/>
  <c r="E2002" i="3"/>
  <c r="E2003" i="3"/>
  <c r="E2004" i="3"/>
  <c r="C6" i="7"/>
  <c r="O14" i="1" l="1"/>
  <c r="H14" i="1" s="1"/>
  <c r="O15" i="1"/>
  <c r="I15" i="1" s="1"/>
  <c r="O12" i="1"/>
  <c r="O13" i="1"/>
  <c r="I13" i="1" s="1"/>
  <c r="O10" i="1"/>
  <c r="H10" i="1" s="1"/>
  <c r="O11" i="1"/>
  <c r="I11" i="1" s="1"/>
  <c r="F16" i="2"/>
  <c r="B2" i="1"/>
  <c r="K5" i="2"/>
  <c r="L5" i="2" s="1"/>
  <c r="K6" i="2"/>
  <c r="L6" i="2" s="1"/>
  <c r="K7" i="2"/>
  <c r="L7" i="2" s="1"/>
  <c r="K8" i="2"/>
  <c r="L8" i="2" s="1"/>
  <c r="K9" i="2"/>
  <c r="L9" i="2" s="1"/>
  <c r="K10" i="2"/>
  <c r="L10" i="2" s="1"/>
  <c r="K11" i="2"/>
  <c r="L11" i="2" s="1"/>
  <c r="K12" i="2"/>
  <c r="L12" i="2" s="1"/>
  <c r="K13" i="2"/>
  <c r="L13" i="2" s="1"/>
  <c r="K14" i="2"/>
  <c r="L14" i="2" s="1"/>
  <c r="M14" i="2" s="1"/>
  <c r="K16" i="2"/>
  <c r="L16" i="2" s="1"/>
  <c r="K15" i="2"/>
  <c r="L15" i="2" s="1"/>
  <c r="M42" i="3"/>
  <c r="M174" i="3"/>
  <c r="M138" i="3"/>
  <c r="M20" i="3"/>
  <c r="M114" i="3"/>
  <c r="M53" i="3"/>
  <c r="M102" i="3"/>
  <c r="M151" i="3"/>
  <c r="M90" i="3"/>
  <c r="M65" i="3"/>
  <c r="M31" i="3"/>
  <c r="M127" i="3"/>
  <c r="M78" i="3"/>
  <c r="M162" i="3"/>
  <c r="M165" i="3"/>
  <c r="M81" i="3"/>
  <c r="M34" i="3"/>
  <c r="M45" i="3"/>
  <c r="M154" i="3"/>
  <c r="M93" i="3"/>
  <c r="M106" i="3"/>
  <c r="M69" i="3"/>
  <c r="M119" i="3"/>
  <c r="M130" i="3"/>
  <c r="M142" i="3"/>
  <c r="M56" i="3"/>
  <c r="M166" i="3"/>
  <c r="M23" i="3"/>
  <c r="M177" i="3"/>
  <c r="M156" i="3"/>
  <c r="M47" i="3"/>
  <c r="M25" i="3"/>
  <c r="M121" i="3"/>
  <c r="M168" i="3"/>
  <c r="M95" i="3"/>
  <c r="M144" i="3"/>
  <c r="M58" i="3"/>
  <c r="M83" i="3"/>
  <c r="M132" i="3"/>
  <c r="M36" i="3"/>
  <c r="M108" i="3"/>
  <c r="M71" i="3"/>
  <c r="M179" i="3"/>
  <c r="M75" i="3"/>
  <c r="M87" i="3"/>
  <c r="M99" i="3"/>
  <c r="M17" i="3"/>
  <c r="M159" i="3"/>
  <c r="M148" i="3"/>
  <c r="M39" i="3"/>
  <c r="M28" i="3"/>
  <c r="M111" i="3"/>
  <c r="M50" i="3"/>
  <c r="M135" i="3"/>
  <c r="M62" i="3"/>
  <c r="M124" i="3"/>
  <c r="M171" i="3"/>
  <c r="M152" i="3"/>
  <c r="M43" i="3"/>
  <c r="M32" i="3"/>
  <c r="M128" i="3"/>
  <c r="M79" i="3"/>
  <c r="M21" i="3"/>
  <c r="M54" i="3"/>
  <c r="M116" i="3"/>
  <c r="M66" i="3"/>
  <c r="M163" i="3"/>
  <c r="M91" i="3"/>
  <c r="M175" i="3"/>
  <c r="M140" i="3"/>
  <c r="M103" i="3"/>
  <c r="M94" i="3"/>
  <c r="M120" i="3"/>
  <c r="M131" i="3"/>
  <c r="M155" i="3"/>
  <c r="M167" i="3"/>
  <c r="M178" i="3"/>
  <c r="M57" i="3"/>
  <c r="M35" i="3"/>
  <c r="M82" i="3"/>
  <c r="M107" i="3"/>
  <c r="M143" i="3"/>
  <c r="M24" i="3"/>
  <c r="M46" i="3"/>
  <c r="M70" i="3"/>
  <c r="M169" i="3"/>
  <c r="M48" i="3"/>
  <c r="M122" i="3"/>
  <c r="M96" i="3"/>
  <c r="M145" i="3"/>
  <c r="M59" i="3"/>
  <c r="M109" i="3"/>
  <c r="M72" i="3"/>
  <c r="M84" i="3"/>
  <c r="M133" i="3"/>
  <c r="M26" i="3"/>
  <c r="M180" i="3"/>
  <c r="M157" i="3"/>
  <c r="M37" i="3"/>
  <c r="M63" i="3"/>
  <c r="M40" i="3"/>
  <c r="M76" i="3"/>
  <c r="M136" i="3"/>
  <c r="M112" i="3"/>
  <c r="M160" i="3"/>
  <c r="M125" i="3"/>
  <c r="M88" i="3"/>
  <c r="M100" i="3"/>
  <c r="M149" i="3"/>
  <c r="M51" i="3"/>
  <c r="M172" i="3"/>
  <c r="M18" i="3"/>
  <c r="M29" i="3"/>
  <c r="M153" i="3"/>
  <c r="M141" i="3"/>
  <c r="M67" i="3"/>
  <c r="M118" i="3"/>
  <c r="M176" i="3"/>
  <c r="M80" i="3"/>
  <c r="M129" i="3"/>
  <c r="M44" i="3"/>
  <c r="M164" i="3"/>
  <c r="M55" i="3"/>
  <c r="M105" i="3"/>
  <c r="M33" i="3"/>
  <c r="M92" i="3"/>
  <c r="M22" i="3"/>
  <c r="M110" i="3"/>
  <c r="M85" i="3"/>
  <c r="M49" i="3"/>
  <c r="M98" i="3"/>
  <c r="M134" i="3"/>
  <c r="M38" i="3"/>
  <c r="M27" i="3"/>
  <c r="M170" i="3"/>
  <c r="M60" i="3"/>
  <c r="M158" i="3"/>
  <c r="M73" i="3"/>
  <c r="M181" i="3"/>
  <c r="M146" i="3"/>
  <c r="M123" i="3"/>
  <c r="M41" i="3"/>
  <c r="M64" i="3"/>
  <c r="M101" i="3"/>
  <c r="M161" i="3"/>
  <c r="M77" i="3"/>
  <c r="M137" i="3"/>
  <c r="M19" i="3"/>
  <c r="M113" i="3"/>
  <c r="M89" i="3"/>
  <c r="M30" i="3"/>
  <c r="M52" i="3"/>
  <c r="M150" i="3"/>
  <c r="M126" i="3"/>
  <c r="M173" i="3"/>
  <c r="F5" i="2"/>
  <c r="F6" i="2"/>
  <c r="F7" i="2"/>
  <c r="F8" i="2"/>
  <c r="F9" i="2"/>
  <c r="F10" i="2"/>
  <c r="F11" i="2"/>
  <c r="F12" i="2"/>
  <c r="F13" i="2"/>
  <c r="F14" i="2"/>
  <c r="F15" i="2"/>
  <c r="L181" i="3"/>
  <c r="K181" i="3"/>
  <c r="N181" i="3" s="1"/>
  <c r="L180" i="3"/>
  <c r="K180" i="3"/>
  <c r="N180" i="3" s="1"/>
  <c r="L179" i="3"/>
  <c r="K179" i="3"/>
  <c r="N179" i="3" s="1"/>
  <c r="L178" i="3"/>
  <c r="K178" i="3"/>
  <c r="N178" i="3" s="1"/>
  <c r="L177" i="3"/>
  <c r="K177" i="3"/>
  <c r="N177" i="3" s="1"/>
  <c r="L176" i="3"/>
  <c r="K176" i="3"/>
  <c r="N176" i="3" s="1"/>
  <c r="L175" i="3"/>
  <c r="K175" i="3"/>
  <c r="N175" i="3" s="1"/>
  <c r="L174" i="3"/>
  <c r="K174" i="3"/>
  <c r="N174" i="3" s="1"/>
  <c r="L173" i="3"/>
  <c r="K173" i="3"/>
  <c r="N173" i="3" s="1"/>
  <c r="L172" i="3"/>
  <c r="K172" i="3"/>
  <c r="N172" i="3" s="1"/>
  <c r="L171" i="3"/>
  <c r="K171" i="3"/>
  <c r="N171" i="3" s="1"/>
  <c r="L170" i="3"/>
  <c r="K170" i="3"/>
  <c r="N170" i="3" s="1"/>
  <c r="N169" i="3"/>
  <c r="L169" i="3"/>
  <c r="K169" i="3"/>
  <c r="L168" i="3"/>
  <c r="K168" i="3"/>
  <c r="N168" i="3" s="1"/>
  <c r="L167" i="3"/>
  <c r="K167" i="3"/>
  <c r="N167" i="3" s="1"/>
  <c r="L166" i="3"/>
  <c r="K166" i="3"/>
  <c r="N166" i="3" s="1"/>
  <c r="L165" i="3"/>
  <c r="K165" i="3"/>
  <c r="N165" i="3" s="1"/>
  <c r="L164" i="3"/>
  <c r="K164" i="3"/>
  <c r="N164" i="3" s="1"/>
  <c r="L163" i="3"/>
  <c r="K163" i="3"/>
  <c r="N163" i="3" s="1"/>
  <c r="L162" i="3"/>
  <c r="K162" i="3"/>
  <c r="N162" i="3" s="1"/>
  <c r="L161" i="3"/>
  <c r="K161" i="3"/>
  <c r="N161" i="3" s="1"/>
  <c r="L160" i="3"/>
  <c r="K160" i="3"/>
  <c r="N160" i="3" s="1"/>
  <c r="L159" i="3"/>
  <c r="K159" i="3"/>
  <c r="N159" i="3" s="1"/>
  <c r="L158" i="3"/>
  <c r="K158" i="3"/>
  <c r="N158" i="3" s="1"/>
  <c r="L157" i="3"/>
  <c r="K157" i="3"/>
  <c r="N157" i="3" s="1"/>
  <c r="N156" i="3"/>
  <c r="L156" i="3"/>
  <c r="K156" i="3"/>
  <c r="L155" i="3"/>
  <c r="K155" i="3"/>
  <c r="N155" i="3" s="1"/>
  <c r="L154" i="3"/>
  <c r="K154" i="3"/>
  <c r="N154" i="3" s="1"/>
  <c r="L153" i="3"/>
  <c r="K153" i="3"/>
  <c r="N153" i="3" s="1"/>
  <c r="L152" i="3"/>
  <c r="K152" i="3"/>
  <c r="N152" i="3" s="1"/>
  <c r="L151" i="3"/>
  <c r="K151" i="3"/>
  <c r="N151" i="3" s="1"/>
  <c r="L150" i="3"/>
  <c r="K150" i="3"/>
  <c r="N150" i="3" s="1"/>
  <c r="L149" i="3"/>
  <c r="K149" i="3"/>
  <c r="N149" i="3" s="1"/>
  <c r="L148" i="3"/>
  <c r="K148" i="3"/>
  <c r="N148" i="3" s="1"/>
  <c r="L147" i="3"/>
  <c r="K147" i="3"/>
  <c r="N147" i="3" s="1"/>
  <c r="L146" i="3"/>
  <c r="K146" i="3"/>
  <c r="N146" i="3" s="1"/>
  <c r="L145" i="3"/>
  <c r="K145" i="3"/>
  <c r="N145" i="3" s="1"/>
  <c r="L144" i="3"/>
  <c r="K144" i="3"/>
  <c r="N144" i="3" s="1"/>
  <c r="L143" i="3"/>
  <c r="K143" i="3"/>
  <c r="N143" i="3" s="1"/>
  <c r="L142" i="3"/>
  <c r="K142" i="3"/>
  <c r="N142" i="3" s="1"/>
  <c r="L141" i="3"/>
  <c r="K141" i="3"/>
  <c r="N141" i="3" s="1"/>
  <c r="L140" i="3"/>
  <c r="K140" i="3"/>
  <c r="N140" i="3" s="1"/>
  <c r="L139" i="3"/>
  <c r="K139" i="3"/>
  <c r="N139" i="3" s="1"/>
  <c r="L138" i="3"/>
  <c r="K138" i="3"/>
  <c r="N138" i="3" s="1"/>
  <c r="L137" i="3"/>
  <c r="K137" i="3"/>
  <c r="N137" i="3" s="1"/>
  <c r="L136" i="3"/>
  <c r="K136" i="3"/>
  <c r="N136" i="3" s="1"/>
  <c r="L135" i="3"/>
  <c r="K135" i="3"/>
  <c r="N135" i="3" s="1"/>
  <c r="L134" i="3"/>
  <c r="K134" i="3"/>
  <c r="N134" i="3" s="1"/>
  <c r="L133" i="3"/>
  <c r="K133" i="3"/>
  <c r="N133" i="3" s="1"/>
  <c r="L132" i="3"/>
  <c r="K132" i="3"/>
  <c r="N132" i="3" s="1"/>
  <c r="L131" i="3"/>
  <c r="K131" i="3"/>
  <c r="N131" i="3" s="1"/>
  <c r="L130" i="3"/>
  <c r="K130" i="3"/>
  <c r="N130" i="3" s="1"/>
  <c r="L129" i="3"/>
  <c r="K129" i="3"/>
  <c r="N129" i="3" s="1"/>
  <c r="L128" i="3"/>
  <c r="K128" i="3"/>
  <c r="N128" i="3" s="1"/>
  <c r="L127" i="3"/>
  <c r="K127" i="3"/>
  <c r="N127" i="3" s="1"/>
  <c r="L126" i="3"/>
  <c r="K126" i="3"/>
  <c r="N126" i="3" s="1"/>
  <c r="L125" i="3"/>
  <c r="K125" i="3"/>
  <c r="N125" i="3" s="1"/>
  <c r="L124" i="3"/>
  <c r="K124" i="3"/>
  <c r="N124" i="3" s="1"/>
  <c r="N123" i="3"/>
  <c r="L123" i="3"/>
  <c r="K123" i="3"/>
  <c r="L122" i="3"/>
  <c r="K122" i="3"/>
  <c r="N122" i="3" s="1"/>
  <c r="L121" i="3"/>
  <c r="K121" i="3"/>
  <c r="N121" i="3" s="1"/>
  <c r="L120" i="3"/>
  <c r="K120" i="3"/>
  <c r="N120" i="3" s="1"/>
  <c r="L119" i="3"/>
  <c r="K119" i="3"/>
  <c r="N119" i="3" s="1"/>
  <c r="L118" i="3"/>
  <c r="K118" i="3"/>
  <c r="N118" i="3" s="1"/>
  <c r="L117" i="3"/>
  <c r="K117" i="3"/>
  <c r="N117" i="3" s="1"/>
  <c r="L116" i="3"/>
  <c r="K116" i="3"/>
  <c r="N116" i="3" s="1"/>
  <c r="L115" i="3"/>
  <c r="K115" i="3"/>
  <c r="N115" i="3" s="1"/>
  <c r="L114" i="3"/>
  <c r="K114" i="3"/>
  <c r="N114" i="3" s="1"/>
  <c r="L113" i="3"/>
  <c r="K113" i="3"/>
  <c r="N113" i="3" s="1"/>
  <c r="L112" i="3"/>
  <c r="K112" i="3"/>
  <c r="N112" i="3" s="1"/>
  <c r="L111" i="3"/>
  <c r="K111" i="3"/>
  <c r="N111" i="3" s="1"/>
  <c r="L110" i="3"/>
  <c r="K110" i="3"/>
  <c r="N110" i="3" s="1"/>
  <c r="L109" i="3"/>
  <c r="K109" i="3"/>
  <c r="N109" i="3" s="1"/>
  <c r="L108" i="3"/>
  <c r="K108" i="3"/>
  <c r="N108" i="3" s="1"/>
  <c r="L107" i="3"/>
  <c r="K107" i="3"/>
  <c r="N107" i="3" s="1"/>
  <c r="L106" i="3"/>
  <c r="K106" i="3"/>
  <c r="N106" i="3" s="1"/>
  <c r="L105" i="3"/>
  <c r="K105" i="3"/>
  <c r="N105" i="3" s="1"/>
  <c r="N104" i="3"/>
  <c r="L104" i="3"/>
  <c r="K104" i="3"/>
  <c r="L103" i="3"/>
  <c r="K103" i="3"/>
  <c r="N103" i="3" s="1"/>
  <c r="L102" i="3"/>
  <c r="K102" i="3"/>
  <c r="N102" i="3" s="1"/>
  <c r="L101" i="3"/>
  <c r="K101" i="3"/>
  <c r="N101" i="3" s="1"/>
  <c r="L100" i="3"/>
  <c r="K100" i="3"/>
  <c r="N100" i="3" s="1"/>
  <c r="L99" i="3"/>
  <c r="K99" i="3"/>
  <c r="N99" i="3" s="1"/>
  <c r="L98" i="3"/>
  <c r="K98" i="3"/>
  <c r="N98" i="3" s="1"/>
  <c r="K97" i="3"/>
  <c r="N97" i="3" s="1"/>
  <c r="L96" i="3"/>
  <c r="K96" i="3"/>
  <c r="N96" i="3" s="1"/>
  <c r="L95" i="3"/>
  <c r="K95" i="3"/>
  <c r="N95" i="3" s="1"/>
  <c r="L94" i="3"/>
  <c r="K94" i="3"/>
  <c r="N94" i="3" s="1"/>
  <c r="N93" i="3"/>
  <c r="L93" i="3"/>
  <c r="K93" i="3"/>
  <c r="L92" i="3"/>
  <c r="K92" i="3"/>
  <c r="N92" i="3" s="1"/>
  <c r="L91" i="3"/>
  <c r="K91" i="3"/>
  <c r="N91" i="3" s="1"/>
  <c r="N90" i="3"/>
  <c r="L89" i="3"/>
  <c r="K89" i="3"/>
  <c r="N89" i="3" s="1"/>
  <c r="L88" i="3"/>
  <c r="K88" i="3"/>
  <c r="N88" i="3" s="1"/>
  <c r="L87" i="3"/>
  <c r="K87" i="3"/>
  <c r="N87" i="3" s="1"/>
  <c r="K86" i="3"/>
  <c r="N86" i="3" s="1"/>
  <c r="L85" i="3"/>
  <c r="K85" i="3"/>
  <c r="N85" i="3" s="1"/>
  <c r="K84" i="3"/>
  <c r="N84" i="3" s="1"/>
  <c r="L83" i="3"/>
  <c r="K83" i="3"/>
  <c r="N83" i="3" s="1"/>
  <c r="L82" i="3"/>
  <c r="K82" i="3"/>
  <c r="N82" i="3" s="1"/>
  <c r="L81" i="3"/>
  <c r="K81" i="3"/>
  <c r="N81" i="3" s="1"/>
  <c r="L80" i="3"/>
  <c r="K80" i="3"/>
  <c r="N80" i="3" s="1"/>
  <c r="N79" i="3"/>
  <c r="L79" i="3"/>
  <c r="K79" i="3"/>
  <c r="L78" i="3"/>
  <c r="K78" i="3"/>
  <c r="N78" i="3" s="1"/>
  <c r="L77" i="3"/>
  <c r="K77" i="3"/>
  <c r="N77" i="3" s="1"/>
  <c r="L76" i="3"/>
  <c r="K76" i="3"/>
  <c r="N76" i="3" s="1"/>
  <c r="L75" i="3"/>
  <c r="K75" i="3"/>
  <c r="N75" i="3" s="1"/>
  <c r="L74" i="3"/>
  <c r="K74" i="3"/>
  <c r="N74" i="3" s="1"/>
  <c r="N73" i="3"/>
  <c r="L73" i="3"/>
  <c r="K73" i="3"/>
  <c r="L72" i="3"/>
  <c r="K72" i="3"/>
  <c r="N72" i="3" s="1"/>
  <c r="L71" i="3"/>
  <c r="K71" i="3"/>
  <c r="N71" i="3" s="1"/>
  <c r="L70" i="3"/>
  <c r="K70" i="3"/>
  <c r="N70" i="3" s="1"/>
  <c r="L69" i="3"/>
  <c r="K69" i="3"/>
  <c r="N69" i="3" s="1"/>
  <c r="L68" i="3"/>
  <c r="K68" i="3"/>
  <c r="N68" i="3" s="1"/>
  <c r="L67" i="3"/>
  <c r="K67" i="3"/>
  <c r="N67" i="3" s="1"/>
  <c r="L66" i="3"/>
  <c r="K66" i="3"/>
  <c r="N66" i="3" s="1"/>
  <c r="L65" i="3"/>
  <c r="K65" i="3"/>
  <c r="N65" i="3" s="1"/>
  <c r="L64" i="3"/>
  <c r="K64" i="3"/>
  <c r="N64" i="3" s="1"/>
  <c r="K63" i="3"/>
  <c r="N63" i="3" s="1"/>
  <c r="L62" i="3"/>
  <c r="K62" i="3"/>
  <c r="N62" i="3" s="1"/>
  <c r="L61" i="3"/>
  <c r="K61" i="3"/>
  <c r="N61" i="3" s="1"/>
  <c r="L60" i="3"/>
  <c r="K60" i="3"/>
  <c r="N60" i="3" s="1"/>
  <c r="L59" i="3"/>
  <c r="K59" i="3"/>
  <c r="N59" i="3" s="1"/>
  <c r="L58" i="3"/>
  <c r="K58" i="3"/>
  <c r="N58" i="3" s="1"/>
  <c r="L57" i="3"/>
  <c r="K57" i="3"/>
  <c r="N57" i="3" s="1"/>
  <c r="L56" i="3"/>
  <c r="K56" i="3"/>
  <c r="N56" i="3" s="1"/>
  <c r="N55" i="3"/>
  <c r="L55" i="3"/>
  <c r="L54" i="3"/>
  <c r="K54" i="3"/>
  <c r="N54" i="3" s="1"/>
  <c r="L53" i="3"/>
  <c r="K53" i="3"/>
  <c r="N53" i="3" s="1"/>
  <c r="L52" i="3"/>
  <c r="K52" i="3"/>
  <c r="N52" i="3" s="1"/>
  <c r="L51" i="3"/>
  <c r="K51" i="3"/>
  <c r="N51" i="3" s="1"/>
  <c r="L50" i="3"/>
  <c r="K50" i="3"/>
  <c r="N50" i="3" s="1"/>
  <c r="L49" i="3"/>
  <c r="K49" i="3"/>
  <c r="N49" i="3" s="1"/>
  <c r="L48" i="3"/>
  <c r="K48" i="3"/>
  <c r="N48" i="3" s="1"/>
  <c r="L47" i="3"/>
  <c r="K47" i="3"/>
  <c r="N47" i="3" s="1"/>
  <c r="L46" i="3"/>
  <c r="K46" i="3"/>
  <c r="N46" i="3" s="1"/>
  <c r="L45" i="3"/>
  <c r="K45" i="3"/>
  <c r="N45" i="3" s="1"/>
  <c r="K44" i="3"/>
  <c r="N44" i="3"/>
  <c r="L43" i="3"/>
  <c r="K43" i="3"/>
  <c r="N43" i="3" s="1"/>
  <c r="K42" i="3"/>
  <c r="N42" i="3" s="1"/>
  <c r="L41" i="3"/>
  <c r="K41" i="3"/>
  <c r="N41" i="3" s="1"/>
  <c r="L40" i="3"/>
  <c r="K40" i="3"/>
  <c r="N40" i="3" s="1"/>
  <c r="L39" i="3"/>
  <c r="K39" i="3"/>
  <c r="N39" i="3" s="1"/>
  <c r="L38" i="3"/>
  <c r="K38" i="3"/>
  <c r="N38" i="3" s="1"/>
  <c r="L37" i="3"/>
  <c r="K37" i="3"/>
  <c r="N37" i="3" s="1"/>
  <c r="L36" i="3"/>
  <c r="K36" i="3"/>
  <c r="N36" i="3" s="1"/>
  <c r="L35" i="3"/>
  <c r="K35" i="3"/>
  <c r="N35" i="3" s="1"/>
  <c r="L34" i="3"/>
  <c r="K34" i="3"/>
  <c r="N34" i="3" s="1"/>
  <c r="L33" i="3"/>
  <c r="K33" i="3"/>
  <c r="N33" i="3" s="1"/>
  <c r="L32" i="3"/>
  <c r="K32" i="3"/>
  <c r="N32" i="3" s="1"/>
  <c r="L31" i="3"/>
  <c r="K31" i="3"/>
  <c r="N31" i="3" s="1"/>
  <c r="N30" i="3"/>
  <c r="L30" i="3"/>
  <c r="K30" i="3"/>
  <c r="L29" i="3"/>
  <c r="K29" i="3"/>
  <c r="N29" i="3" s="1"/>
  <c r="L28" i="3"/>
  <c r="K28" i="3"/>
  <c r="N28" i="3" s="1"/>
  <c r="L27" i="3"/>
  <c r="K27" i="3"/>
  <c r="N27" i="3" s="1"/>
  <c r="L26" i="3"/>
  <c r="K26" i="3"/>
  <c r="N26" i="3" s="1"/>
  <c r="L25" i="3"/>
  <c r="K25" i="3"/>
  <c r="N25" i="3" s="1"/>
  <c r="L24" i="3"/>
  <c r="K24" i="3"/>
  <c r="N24" i="3" s="1"/>
  <c r="L23" i="3"/>
  <c r="K23" i="3"/>
  <c r="N23" i="3" s="1"/>
  <c r="N22" i="3"/>
  <c r="L22" i="3"/>
  <c r="K22" i="3"/>
  <c r="N21" i="3"/>
  <c r="L21" i="3"/>
  <c r="K21" i="3"/>
  <c r="N20" i="3"/>
  <c r="L20" i="3"/>
  <c r="K20" i="3"/>
  <c r="L19" i="3"/>
  <c r="K19" i="3"/>
  <c r="N19" i="3" s="1"/>
  <c r="L18" i="3"/>
  <c r="K18" i="3"/>
  <c r="N18" i="3" s="1"/>
  <c r="L17" i="3"/>
  <c r="K17" i="3"/>
  <c r="N17" i="3" s="1"/>
  <c r="L16" i="3"/>
  <c r="K16" i="3"/>
  <c r="N16" i="3" s="1"/>
  <c r="L15" i="3"/>
  <c r="K15" i="3"/>
  <c r="N15" i="3" s="1"/>
  <c r="N14" i="3"/>
  <c r="L14" i="3"/>
  <c r="K14" i="3"/>
  <c r="L13" i="3"/>
  <c r="K13" i="3"/>
  <c r="N13" i="3" s="1"/>
  <c r="L12" i="3"/>
  <c r="K12" i="3"/>
  <c r="N12" i="3" s="1"/>
  <c r="N11" i="3"/>
  <c r="L11" i="3"/>
  <c r="K11" i="3"/>
  <c r="N10" i="3"/>
  <c r="L10" i="3"/>
  <c r="K10" i="3"/>
  <c r="N9" i="3"/>
  <c r="L9" i="3"/>
  <c r="K9" i="3"/>
  <c r="N8" i="3"/>
  <c r="L8" i="3"/>
  <c r="K8" i="3"/>
  <c r="N7" i="3"/>
  <c r="L7" i="3"/>
  <c r="K7" i="3"/>
  <c r="N6" i="3"/>
  <c r="L6" i="3"/>
  <c r="K6" i="3"/>
  <c r="N5" i="3"/>
  <c r="L5" i="3"/>
  <c r="K5" i="3"/>
  <c r="I14" i="1" l="1"/>
  <c r="G14" i="1"/>
  <c r="G15" i="1"/>
  <c r="H15" i="1"/>
  <c r="G13" i="1"/>
  <c r="H13" i="1"/>
  <c r="I12" i="1"/>
  <c r="G12" i="1"/>
  <c r="H12" i="1"/>
  <c r="I10" i="1"/>
  <c r="G10" i="1"/>
  <c r="G11" i="1"/>
  <c r="H11" i="1"/>
  <c r="M16" i="2"/>
  <c r="P16" i="2"/>
  <c r="H16" i="2"/>
  <c r="O16" i="2"/>
  <c r="F16" i="5"/>
  <c r="P5" i="2"/>
  <c r="F5" i="5"/>
  <c r="H5" i="5" s="1"/>
  <c r="I5" i="5" s="1"/>
  <c r="P6" i="2"/>
  <c r="F6" i="5"/>
  <c r="P7" i="2"/>
  <c r="F7" i="5"/>
  <c r="P8" i="2"/>
  <c r="F8" i="5"/>
  <c r="H8" i="5" s="1"/>
  <c r="I8" i="5" s="1"/>
  <c r="P9" i="2"/>
  <c r="F9" i="5"/>
  <c r="H9" i="5" s="1"/>
  <c r="I9" i="5" s="1"/>
  <c r="P10" i="2"/>
  <c r="F10" i="5"/>
  <c r="P11" i="2"/>
  <c r="F11" i="5"/>
  <c r="P12" i="2"/>
  <c r="F12" i="5"/>
  <c r="H12" i="5" s="1"/>
  <c r="I12" i="5" s="1"/>
  <c r="P13" i="2"/>
  <c r="F13" i="5"/>
  <c r="P14" i="2"/>
  <c r="F14" i="5"/>
  <c r="P15" i="2"/>
  <c r="F15" i="5"/>
  <c r="M9" i="2"/>
  <c r="M5" i="2"/>
  <c r="H5" i="2"/>
  <c r="O5" i="2"/>
  <c r="H6" i="2"/>
  <c r="O6" i="2"/>
  <c r="H7" i="2"/>
  <c r="O7" i="2"/>
  <c r="H8" i="2"/>
  <c r="O8" i="2"/>
  <c r="H9" i="2"/>
  <c r="O9" i="2"/>
  <c r="H10" i="2"/>
  <c r="O10" i="2"/>
  <c r="H11" i="2"/>
  <c r="O11" i="2"/>
  <c r="H12" i="2"/>
  <c r="O12" i="2"/>
  <c r="H13" i="2"/>
  <c r="O13" i="2"/>
  <c r="H14" i="2"/>
  <c r="O14" i="2"/>
  <c r="H15" i="2"/>
  <c r="O15" i="2"/>
  <c r="M6" i="2"/>
  <c r="M7" i="2"/>
  <c r="M8" i="2"/>
  <c r="M10" i="2"/>
  <c r="M11" i="2"/>
  <c r="M12" i="2"/>
  <c r="M13" i="2"/>
  <c r="M15" i="2"/>
  <c r="O31" i="1" l="1"/>
  <c r="O30" i="1"/>
  <c r="O29" i="1"/>
  <c r="O28" i="1"/>
  <c r="O27" i="1"/>
  <c r="O26" i="1"/>
  <c r="O25" i="1"/>
  <c r="O24" i="1"/>
  <c r="E15" i="1"/>
  <c r="E14" i="1"/>
  <c r="E11" i="1"/>
  <c r="E13" i="1"/>
  <c r="E10" i="1"/>
  <c r="E12" i="1"/>
  <c r="J5" i="1"/>
  <c r="F5" i="1"/>
  <c r="H5" i="1"/>
  <c r="O11" i="4"/>
  <c r="O10" i="4"/>
  <c r="B5" i="1"/>
  <c r="O24" i="4"/>
  <c r="O12" i="4"/>
  <c r="O25" i="4"/>
  <c r="O13" i="4"/>
  <c r="O26" i="4"/>
  <c r="K26" i="4" s="1"/>
  <c r="O14" i="4"/>
  <c r="O15" i="4"/>
  <c r="O23" i="4"/>
  <c r="O27" i="4"/>
  <c r="O16" i="4"/>
  <c r="O28" i="4"/>
  <c r="I205" i="5"/>
  <c r="O29" i="4"/>
  <c r="O30" i="4"/>
  <c r="O17" i="4"/>
  <c r="O34" i="4"/>
  <c r="O37" i="4"/>
  <c r="O20" i="4"/>
  <c r="O36" i="4"/>
  <c r="O22" i="4"/>
  <c r="O39" i="4"/>
  <c r="O40" i="4"/>
  <c r="K40" i="4" s="1"/>
  <c r="O38" i="4"/>
  <c r="O9" i="4"/>
  <c r="O7" i="4"/>
  <c r="O21" i="4"/>
  <c r="O5" i="4"/>
  <c r="O32" i="4"/>
  <c r="O41" i="4"/>
  <c r="O35" i="4"/>
  <c r="O42" i="4"/>
  <c r="O44" i="4"/>
  <c r="O33" i="4"/>
  <c r="O18" i="4"/>
  <c r="O6" i="4"/>
  <c r="O43" i="4"/>
  <c r="O31" i="4"/>
  <c r="O19" i="4"/>
  <c r="O8" i="4"/>
  <c r="D31" i="1" l="1"/>
  <c r="E31" i="1"/>
  <c r="B31" i="1"/>
  <c r="C31" i="1"/>
  <c r="D30" i="1"/>
  <c r="E30" i="1"/>
  <c r="B30" i="1"/>
  <c r="C30" i="1"/>
  <c r="D29" i="1"/>
  <c r="E29" i="1"/>
  <c r="C29" i="1"/>
  <c r="B29" i="1"/>
  <c r="D28" i="1"/>
  <c r="E28" i="1"/>
  <c r="B28" i="1"/>
  <c r="C28" i="1"/>
  <c r="D27" i="1"/>
  <c r="E27" i="1"/>
  <c r="B27" i="1"/>
  <c r="C27" i="1"/>
  <c r="D26" i="1"/>
  <c r="E26" i="1"/>
  <c r="B26" i="1"/>
  <c r="C26" i="1"/>
  <c r="D25" i="1"/>
  <c r="E25" i="1"/>
  <c r="B25" i="1"/>
  <c r="C25" i="1"/>
  <c r="D24" i="1"/>
  <c r="E24" i="1"/>
  <c r="B24" i="1"/>
  <c r="C24" i="1"/>
  <c r="K11" i="4"/>
  <c r="M11" i="4"/>
  <c r="J11" i="4"/>
  <c r="L11" i="4"/>
  <c r="H11" i="4"/>
  <c r="I11" i="4"/>
  <c r="F11" i="4"/>
  <c r="G11" i="4"/>
  <c r="D11" i="4"/>
  <c r="E11" i="4"/>
  <c r="B11" i="4"/>
  <c r="C11" i="4"/>
  <c r="K10" i="4"/>
  <c r="M10" i="4"/>
  <c r="J10" i="4"/>
  <c r="L10" i="4"/>
  <c r="H10" i="4"/>
  <c r="I10" i="4"/>
  <c r="F10" i="4"/>
  <c r="G10" i="4"/>
  <c r="D10" i="4"/>
  <c r="E10" i="4"/>
  <c r="B10" i="4"/>
  <c r="C10" i="4"/>
  <c r="M26" i="4"/>
  <c r="J26" i="4"/>
  <c r="L26" i="4"/>
  <c r="H26" i="4"/>
  <c r="I26" i="4"/>
  <c r="I24" i="4"/>
  <c r="F24" i="4"/>
  <c r="G24" i="4"/>
  <c r="D24" i="4"/>
  <c r="C24" i="4"/>
  <c r="B24" i="4"/>
  <c r="E24" i="4"/>
  <c r="K24" i="4"/>
  <c r="M24" i="4"/>
  <c r="J24" i="4"/>
  <c r="L24" i="4"/>
  <c r="H24" i="4"/>
  <c r="F12" i="4"/>
  <c r="G12" i="4"/>
  <c r="D12" i="4"/>
  <c r="B12" i="4"/>
  <c r="E12" i="4"/>
  <c r="C12" i="4"/>
  <c r="L12" i="4"/>
  <c r="K12" i="4"/>
  <c r="M12" i="4"/>
  <c r="J12" i="4"/>
  <c r="H12" i="4"/>
  <c r="I12" i="4"/>
  <c r="K25" i="4"/>
  <c r="M25" i="4"/>
  <c r="J25" i="4"/>
  <c r="L25" i="4"/>
  <c r="H25" i="4"/>
  <c r="I25" i="4"/>
  <c r="G25" i="4"/>
  <c r="D25" i="4"/>
  <c r="E25" i="4"/>
  <c r="C25" i="4"/>
  <c r="B25" i="4"/>
  <c r="F25" i="4"/>
  <c r="G13" i="4"/>
  <c r="D13" i="4"/>
  <c r="K13" i="4"/>
  <c r="B13" i="4"/>
  <c r="C13" i="4"/>
  <c r="M13" i="4"/>
  <c r="J13" i="4"/>
  <c r="L13" i="4"/>
  <c r="H13" i="4"/>
  <c r="I13" i="4"/>
  <c r="F13" i="4"/>
  <c r="E13" i="4"/>
  <c r="G26" i="4"/>
  <c r="D26" i="4"/>
  <c r="E26" i="4"/>
  <c r="B26" i="4"/>
  <c r="C26" i="4"/>
  <c r="F26" i="4"/>
  <c r="K14" i="4"/>
  <c r="M14" i="4"/>
  <c r="J14" i="4"/>
  <c r="L14" i="4"/>
  <c r="H14" i="4"/>
  <c r="I14" i="4"/>
  <c r="F14" i="4"/>
  <c r="G14" i="4"/>
  <c r="D14" i="4"/>
  <c r="E14" i="4"/>
  <c r="B14" i="4"/>
  <c r="C14" i="4"/>
  <c r="D28" i="4"/>
  <c r="K28" i="4"/>
  <c r="M28" i="4"/>
  <c r="J28" i="4"/>
  <c r="L28" i="4"/>
  <c r="H28" i="4"/>
  <c r="I28" i="4"/>
  <c r="F28" i="4"/>
  <c r="G28" i="4"/>
  <c r="K15" i="4"/>
  <c r="M15" i="4"/>
  <c r="J15" i="4"/>
  <c r="L15" i="4"/>
  <c r="H15" i="4"/>
  <c r="I15" i="4"/>
  <c r="F15" i="4"/>
  <c r="G15" i="4"/>
  <c r="D15" i="4"/>
  <c r="E15" i="4"/>
  <c r="B15" i="4"/>
  <c r="C15" i="4"/>
  <c r="K23" i="4"/>
  <c r="M23" i="4"/>
  <c r="J23" i="4"/>
  <c r="L23" i="4"/>
  <c r="H23" i="4"/>
  <c r="I23" i="4"/>
  <c r="F23" i="4"/>
  <c r="G23" i="4"/>
  <c r="D23" i="4"/>
  <c r="E23" i="4"/>
  <c r="B23" i="4"/>
  <c r="C23" i="4"/>
  <c r="K27" i="4"/>
  <c r="M27" i="4"/>
  <c r="J27" i="4"/>
  <c r="E28" i="4"/>
  <c r="B28" i="4"/>
  <c r="C28" i="4"/>
  <c r="L27" i="4"/>
  <c r="H27" i="4"/>
  <c r="I27" i="4"/>
  <c r="F27" i="4"/>
  <c r="G27" i="4"/>
  <c r="D27" i="4"/>
  <c r="E27" i="4"/>
  <c r="B27" i="4"/>
  <c r="C27" i="4"/>
  <c r="K16" i="4"/>
  <c r="M16" i="4"/>
  <c r="J16" i="4"/>
  <c r="L16" i="4"/>
  <c r="H16" i="4"/>
  <c r="I16" i="4"/>
  <c r="F16" i="4"/>
  <c r="G16" i="4"/>
  <c r="D16" i="4"/>
  <c r="E16" i="4"/>
  <c r="B16" i="4"/>
  <c r="C16" i="4"/>
  <c r="E29" i="4"/>
  <c r="D29" i="4"/>
  <c r="F29" i="4"/>
  <c r="G29" i="4"/>
  <c r="I29" i="4"/>
  <c r="H29" i="4"/>
  <c r="L29" i="4"/>
  <c r="J29" i="4"/>
  <c r="K29" i="4"/>
  <c r="M29" i="4"/>
  <c r="B29" i="4"/>
  <c r="C29" i="4"/>
  <c r="J30" i="4"/>
  <c r="E30" i="4"/>
  <c r="K30" i="4"/>
  <c r="M30" i="4"/>
  <c r="L30" i="4"/>
  <c r="H30" i="4"/>
  <c r="I30" i="4"/>
  <c r="F30" i="4"/>
  <c r="G30" i="4"/>
  <c r="D30" i="4"/>
  <c r="B30" i="4"/>
  <c r="C30" i="4"/>
  <c r="F17" i="4"/>
  <c r="K17" i="4"/>
  <c r="M17" i="4"/>
  <c r="J17" i="4"/>
  <c r="L17" i="4"/>
  <c r="H17" i="4"/>
  <c r="I17" i="4"/>
  <c r="G17" i="4"/>
  <c r="D17" i="4"/>
  <c r="E17" i="4"/>
  <c r="B17" i="4"/>
  <c r="C17" i="4"/>
  <c r="M44" i="4"/>
  <c r="I44" i="4"/>
  <c r="K44" i="4"/>
  <c r="G44" i="4"/>
  <c r="F44" i="4"/>
  <c r="H44" i="4"/>
  <c r="L44" i="4"/>
  <c r="J44" i="4"/>
  <c r="E34" i="4"/>
  <c r="D34" i="4"/>
  <c r="F34" i="4"/>
  <c r="G34" i="4"/>
  <c r="I34" i="4"/>
  <c r="H34" i="4"/>
  <c r="L34" i="4"/>
  <c r="J34" i="4"/>
  <c r="K34" i="4"/>
  <c r="M34" i="4"/>
  <c r="B34" i="4"/>
  <c r="C34" i="4"/>
  <c r="J37" i="4"/>
  <c r="E37" i="4"/>
  <c r="K37" i="4"/>
  <c r="M37" i="4"/>
  <c r="L37" i="4"/>
  <c r="H37" i="4"/>
  <c r="I37" i="4"/>
  <c r="F37" i="4"/>
  <c r="G37" i="4"/>
  <c r="D37" i="4"/>
  <c r="B37" i="4"/>
  <c r="C37" i="4"/>
  <c r="F20" i="4"/>
  <c r="K20" i="4"/>
  <c r="M20" i="4"/>
  <c r="J20" i="4"/>
  <c r="L20" i="4"/>
  <c r="H20" i="4"/>
  <c r="I20" i="4"/>
  <c r="G20" i="4"/>
  <c r="D20" i="4"/>
  <c r="E20" i="4"/>
  <c r="B20" i="4"/>
  <c r="C20" i="4"/>
  <c r="M41" i="4"/>
  <c r="L41" i="4"/>
  <c r="J41" i="4"/>
  <c r="K41" i="4"/>
  <c r="E44" i="4"/>
  <c r="D44" i="4"/>
  <c r="C44" i="4"/>
  <c r="B44" i="4"/>
  <c r="G36" i="4"/>
  <c r="L36" i="4"/>
  <c r="H36" i="4"/>
  <c r="I36" i="4"/>
  <c r="F36" i="4"/>
  <c r="C36" i="4"/>
  <c r="B36" i="4"/>
  <c r="E36" i="4"/>
  <c r="D36" i="4"/>
  <c r="K36" i="4"/>
  <c r="M36" i="4"/>
  <c r="J36" i="4"/>
  <c r="G22" i="4"/>
  <c r="D22" i="4"/>
  <c r="E22" i="4"/>
  <c r="B22" i="4"/>
  <c r="C22" i="4"/>
  <c r="K22" i="4"/>
  <c r="M22" i="4"/>
  <c r="J22" i="4"/>
  <c r="L22" i="4"/>
  <c r="H22" i="4"/>
  <c r="I22" i="4"/>
  <c r="F22" i="4"/>
  <c r="I41" i="4"/>
  <c r="F41" i="4"/>
  <c r="G41" i="4"/>
  <c r="D41" i="4"/>
  <c r="E41" i="4"/>
  <c r="C41" i="4"/>
  <c r="B41" i="4"/>
  <c r="H41" i="4"/>
  <c r="L39" i="4"/>
  <c r="K39" i="4"/>
  <c r="M39" i="4"/>
  <c r="J39" i="4"/>
  <c r="H39" i="4"/>
  <c r="I39" i="4"/>
  <c r="F39" i="4"/>
  <c r="G39" i="4"/>
  <c r="D39" i="4"/>
  <c r="E39" i="4"/>
  <c r="B39" i="4"/>
  <c r="C39" i="4"/>
  <c r="J40" i="4"/>
  <c r="L40" i="4"/>
  <c r="H40" i="4"/>
  <c r="I40" i="4"/>
  <c r="F40" i="4"/>
  <c r="G40" i="4"/>
  <c r="M40" i="4"/>
  <c r="E40" i="4"/>
  <c r="B40" i="4"/>
  <c r="C40" i="4"/>
  <c r="D40" i="4"/>
  <c r="K38" i="4"/>
  <c r="M38" i="4"/>
  <c r="J38" i="4"/>
  <c r="L38" i="4"/>
  <c r="H38" i="4"/>
  <c r="I38" i="4"/>
  <c r="F38" i="4"/>
  <c r="G38" i="4"/>
  <c r="D38" i="4"/>
  <c r="E38" i="4"/>
  <c r="B38" i="4"/>
  <c r="C38" i="4"/>
  <c r="K9" i="4"/>
  <c r="M9" i="4"/>
  <c r="J9" i="4"/>
  <c r="L9" i="4"/>
  <c r="H9" i="4"/>
  <c r="I9" i="4"/>
  <c r="F9" i="4"/>
  <c r="G9" i="4"/>
  <c r="D9" i="4"/>
  <c r="E9" i="4"/>
  <c r="B9" i="4"/>
  <c r="C9" i="4"/>
  <c r="J7" i="4"/>
  <c r="L7" i="4"/>
  <c r="M7" i="4" s="1"/>
  <c r="H7" i="4"/>
  <c r="I7" i="4"/>
  <c r="F7" i="4"/>
  <c r="G7" i="4"/>
  <c r="D7" i="4"/>
  <c r="E7" i="4"/>
  <c r="B7" i="4"/>
  <c r="C7" i="4"/>
  <c r="J21" i="4"/>
  <c r="G21" i="4"/>
  <c r="B21" i="4"/>
  <c r="M21" i="4"/>
  <c r="I21" i="4"/>
  <c r="E21" i="4"/>
  <c r="K21" i="4"/>
  <c r="L21" i="4"/>
  <c r="H21" i="4"/>
  <c r="F21" i="4"/>
  <c r="D21" i="4"/>
  <c r="C21" i="4"/>
  <c r="J5" i="4"/>
  <c r="L5" i="4"/>
  <c r="M5" i="4" s="1"/>
  <c r="H5" i="4"/>
  <c r="I5" i="4"/>
  <c r="F5" i="4"/>
  <c r="G5" i="4"/>
  <c r="D5" i="4"/>
  <c r="E5" i="4"/>
  <c r="B5" i="4"/>
  <c r="C5" i="4"/>
  <c r="K32" i="4"/>
  <c r="M32" i="4"/>
  <c r="J32" i="4"/>
  <c r="L32" i="4"/>
  <c r="H32" i="4"/>
  <c r="I32" i="4"/>
  <c r="F32" i="4"/>
  <c r="G32" i="4"/>
  <c r="D32" i="4"/>
  <c r="E32" i="4"/>
  <c r="B32" i="4"/>
  <c r="C32" i="4"/>
  <c r="K35" i="4"/>
  <c r="M35" i="4"/>
  <c r="J35" i="4"/>
  <c r="L35" i="4"/>
  <c r="H35" i="4"/>
  <c r="I35" i="4"/>
  <c r="F35" i="4"/>
  <c r="G35" i="4"/>
  <c r="D35" i="4"/>
  <c r="E35" i="4"/>
  <c r="B35" i="4"/>
  <c r="C35" i="4"/>
  <c r="L42" i="4"/>
  <c r="D42" i="4"/>
  <c r="H42" i="4"/>
  <c r="I42" i="4"/>
  <c r="G42" i="4"/>
  <c r="C42" i="4"/>
  <c r="J42" i="4"/>
  <c r="E42" i="4"/>
  <c r="K42" i="4"/>
  <c r="F42" i="4"/>
  <c r="M42" i="4"/>
  <c r="B42" i="4"/>
  <c r="K33" i="4"/>
  <c r="M33" i="4"/>
  <c r="J33" i="4"/>
  <c r="L33" i="4"/>
  <c r="H33" i="4"/>
  <c r="I33" i="4"/>
  <c r="F33" i="4"/>
  <c r="G33" i="4"/>
  <c r="D33" i="4"/>
  <c r="E33" i="4"/>
  <c r="B33" i="4"/>
  <c r="C33" i="4"/>
  <c r="C18" i="4"/>
  <c r="K18" i="4"/>
  <c r="M18" i="4"/>
  <c r="J18" i="4"/>
  <c r="L18" i="4"/>
  <c r="H18" i="4"/>
  <c r="I18" i="4"/>
  <c r="F18" i="4"/>
  <c r="G18" i="4"/>
  <c r="D18" i="4"/>
  <c r="E18" i="4"/>
  <c r="B18" i="4"/>
  <c r="D6" i="4"/>
  <c r="J6" i="4"/>
  <c r="I6" i="4"/>
  <c r="G6" i="4"/>
  <c r="C6" i="4"/>
  <c r="H6" i="4"/>
  <c r="B6" i="4"/>
  <c r="L6" i="4"/>
  <c r="M6" i="4" s="1"/>
  <c r="F6" i="4"/>
  <c r="E6" i="4"/>
  <c r="F43" i="4"/>
  <c r="M43" i="4"/>
  <c r="H43" i="4"/>
  <c r="G43" i="4"/>
  <c r="J43" i="4"/>
  <c r="E43" i="4"/>
  <c r="B43" i="4"/>
  <c r="K43" i="4"/>
  <c r="L43" i="4"/>
  <c r="I43" i="4"/>
  <c r="D43" i="4"/>
  <c r="C43" i="4"/>
  <c r="F31" i="4"/>
  <c r="D31" i="4"/>
  <c r="B31" i="4"/>
  <c r="K31" i="4"/>
  <c r="J31" i="4"/>
  <c r="L31" i="4"/>
  <c r="H31" i="4"/>
  <c r="I31" i="4"/>
  <c r="G31" i="4"/>
  <c r="E31" i="4"/>
  <c r="C31" i="4"/>
  <c r="M31" i="4"/>
  <c r="K19" i="4"/>
  <c r="M19" i="4"/>
  <c r="J19" i="4"/>
  <c r="L19" i="4"/>
  <c r="H19" i="4"/>
  <c r="I19" i="4"/>
  <c r="F19" i="4"/>
  <c r="G19" i="4"/>
  <c r="D19" i="4"/>
  <c r="E19" i="4"/>
  <c r="B19" i="4"/>
  <c r="C19" i="4"/>
  <c r="J8" i="4"/>
  <c r="L8" i="4"/>
  <c r="M8" i="4" s="1"/>
  <c r="H8" i="4"/>
  <c r="I8" i="4"/>
  <c r="F8" i="4"/>
  <c r="G8" i="4"/>
  <c r="D8" i="4"/>
  <c r="E8" i="4"/>
  <c r="B8" i="4"/>
  <c r="C8" i="4"/>
  <c r="K6" i="4" l="1"/>
  <c r="K7" i="4"/>
  <c r="K5" i="4"/>
  <c r="K8" i="4"/>
  <c r="K45" i="4" l="1"/>
  <c r="L5" i="1" s="1"/>
</calcChain>
</file>

<file path=xl/sharedStrings.xml><?xml version="1.0" encoding="utf-8"?>
<sst xmlns="http://schemas.openxmlformats.org/spreadsheetml/2006/main" count="879" uniqueCount="309">
  <si>
    <t>Setări</t>
  </si>
  <si>
    <t>Data de referință este implicit ziua de azi. Tipurile de mișcare au semnul lor: + intră în stoc, – iese din stoc.</t>
  </si>
  <si>
    <t>Firma</t>
  </si>
  <si>
    <t>Exemplu Distribuție SRL</t>
  </si>
  <si>
    <t>Gestiunea</t>
  </si>
  <si>
    <t>Depozit central Ploiești</t>
  </si>
  <si>
    <t>Data de referință</t>
  </si>
  <si>
    <t>Zile pentru consumul mediu</t>
  </si>
  <si>
    <t>Zile fără mișcare (stoc imobilizat)</t>
  </si>
  <si>
    <t>Tip mișcare</t>
  </si>
  <si>
    <t>Semn</t>
  </si>
  <si>
    <t>Stoc inițial</t>
  </si>
  <si>
    <t>Intrare (NIR)</t>
  </si>
  <si>
    <t>Retur de la client</t>
  </si>
  <si>
    <t>Ajustare inventar +</t>
  </si>
  <si>
    <t>Ieșire (vânzare)</t>
  </si>
  <si>
    <t>Consum (bon de consum)</t>
  </si>
  <si>
    <t>Retur la furnizor</t>
  </si>
  <si>
    <t>Ajustare inventar –</t>
  </si>
  <si>
    <t>Categorii</t>
  </si>
  <si>
    <t>Cabluri</t>
  </si>
  <si>
    <t>Tuburi și doze</t>
  </si>
  <si>
    <t>Aparataj</t>
  </si>
  <si>
    <t>Tablouri și protecții</t>
  </si>
  <si>
    <t>Iluminat</t>
  </si>
  <si>
    <t>Accesorii</t>
  </si>
  <si>
    <t>Produse</t>
  </si>
  <si>
    <t>Lista produselor din gestiune, cu stocul minim (sub care trebuie comandat) și stocul maxim (până la care comanzi).</t>
  </si>
  <si>
    <t>Cod</t>
  </si>
  <si>
    <t>Denumire</t>
  </si>
  <si>
    <t>Categorie</t>
  </si>
  <si>
    <t>U.M.</t>
  </si>
  <si>
    <t>Furnizor</t>
  </si>
  <si>
    <t>Preț achiziție (ultimul)</t>
  </si>
  <si>
    <t>Preț vânzare</t>
  </si>
  <si>
    <t>Stoc minim</t>
  </si>
  <si>
    <t>Stoc maxim</t>
  </si>
  <si>
    <t>Termen livrare (zile)</t>
  </si>
  <si>
    <t>Locație</t>
  </si>
  <si>
    <t>P01</t>
  </si>
  <si>
    <t>Cablu CYY-F 3x2,5</t>
  </si>
  <si>
    <t>m</t>
  </si>
  <si>
    <t>ElectroMag SRL</t>
  </si>
  <si>
    <t>R1-A</t>
  </si>
  <si>
    <t>P02</t>
  </si>
  <si>
    <t>Tub flexibil PVC 20 mm</t>
  </si>
  <si>
    <t>R1-B</t>
  </si>
  <si>
    <t>P03</t>
  </si>
  <si>
    <t>Doză aparat îngropată</t>
  </si>
  <si>
    <t>buc</t>
  </si>
  <si>
    <t>R1-C</t>
  </si>
  <si>
    <t>P04</t>
  </si>
  <si>
    <t>Întrerupător simplu Schneider Sedna</t>
  </si>
  <si>
    <t>Schneider Distribuție</t>
  </si>
  <si>
    <t>R2-A</t>
  </si>
  <si>
    <t>P05</t>
  </si>
  <si>
    <t>Priză dublă cu împământare</t>
  </si>
  <si>
    <t>R2-B</t>
  </si>
  <si>
    <t>P06</t>
  </si>
  <si>
    <t>Tablou electric 12 module</t>
  </si>
  <si>
    <t>R3-A</t>
  </si>
  <si>
    <t>P07</t>
  </si>
  <si>
    <t>Siguranță automată 16A</t>
  </si>
  <si>
    <t>R3-B</t>
  </si>
  <si>
    <t>P08</t>
  </si>
  <si>
    <t>Corp iluminat LED 36W</t>
  </si>
  <si>
    <t>LuxLED Import</t>
  </si>
  <si>
    <t>R4-A</t>
  </si>
  <si>
    <t>P09</t>
  </si>
  <si>
    <t>Bec LED E27 9W</t>
  </si>
  <si>
    <t>R4-B</t>
  </si>
  <si>
    <t>P10</t>
  </si>
  <si>
    <t>Prelungitor 5 prize cu întrerupător</t>
  </si>
  <si>
    <t>R5-A</t>
  </si>
  <si>
    <t>P11</t>
  </si>
  <si>
    <t>Bandă izolatoare 19 mm</t>
  </si>
  <si>
    <t>R5-B</t>
  </si>
  <si>
    <t>P12</t>
  </si>
  <si>
    <t>Cablu MYF 1,5 mm</t>
  </si>
  <si>
    <t>R1-D</t>
  </si>
  <si>
    <t>Mișcări de stoc</t>
  </si>
  <si>
    <t>Un rând pentru fiecare intrare sau ieșire, cu documentul care o justifică (NIR, aviz, factură, bon de consum). Cantitatea se scrie fără semn: semnul vine din tipul mișcării.</t>
  </si>
  <si>
    <t>Data</t>
  </si>
  <si>
    <t>Cantitate</t>
  </si>
  <si>
    <t>Preț unitar (intrări)</t>
  </si>
  <si>
    <t>Document</t>
  </si>
  <si>
    <t>Partener</t>
  </si>
  <si>
    <t>Cantitate cu semn</t>
  </si>
  <si>
    <t>Valoare intrare</t>
  </si>
  <si>
    <t>Valoare ieșire (la CMP)</t>
  </si>
  <si>
    <t>Verificare</t>
  </si>
  <si>
    <t>Aviz AV 133</t>
  </si>
  <si>
    <t>Exemplu Construct SRL</t>
  </si>
  <si>
    <t>Aviz AV 189</t>
  </si>
  <si>
    <t>Casa Verde SRL</t>
  </si>
  <si>
    <t>Aviz AV 231</t>
  </si>
  <si>
    <t>Montaj Expert SRL</t>
  </si>
  <si>
    <t>Aviz AV 91</t>
  </si>
  <si>
    <t>Instal Rapid SRL</t>
  </si>
  <si>
    <t>Aviz AV 147</t>
  </si>
  <si>
    <t>Electro Plus SRL</t>
  </si>
  <si>
    <t>Aviz AV 203</t>
  </si>
  <si>
    <t>Aviz AV 105</t>
  </si>
  <si>
    <t>Aviz AV 161</t>
  </si>
  <si>
    <t>Aviz AV 119</t>
  </si>
  <si>
    <t>Aviz AV 175</t>
  </si>
  <si>
    <t>Aviz AV 217</t>
  </si>
  <si>
    <t>Aviz AV 134</t>
  </si>
  <si>
    <t>Aviz AV 190</t>
  </si>
  <si>
    <t>Aviz AV 232</t>
  </si>
  <si>
    <t>Aviz AV 92</t>
  </si>
  <si>
    <t>Aviz AV 148</t>
  </si>
  <si>
    <t>Aviz AV 204</t>
  </si>
  <si>
    <t>Aviz AV 106</t>
  </si>
  <si>
    <t>Aviz AV 162</t>
  </si>
  <si>
    <t>Aviz AV 120</t>
  </si>
  <si>
    <t>Aviz AV 176</t>
  </si>
  <si>
    <t>Aviz AV 218</t>
  </si>
  <si>
    <t>Aviz AV 135</t>
  </si>
  <si>
    <t>Aviz AV 191</t>
  </si>
  <si>
    <t>Aviz AV 233</t>
  </si>
  <si>
    <t>Aviz AV 93</t>
  </si>
  <si>
    <t>Aviz AV 149</t>
  </si>
  <si>
    <t>Aviz AV 205</t>
  </si>
  <si>
    <t>Aviz AV 107</t>
  </si>
  <si>
    <t>Aviz AV 163</t>
  </si>
  <si>
    <t>Aviz AV 121</t>
  </si>
  <si>
    <t>Aviz AV 177</t>
  </si>
  <si>
    <t>Aviz AV 219</t>
  </si>
  <si>
    <t>Aviz AV 136</t>
  </si>
  <si>
    <t>Aviz AV 192</t>
  </si>
  <si>
    <t>Aviz AV 234</t>
  </si>
  <si>
    <t>Aviz AV 94</t>
  </si>
  <si>
    <t>Aviz AV 150</t>
  </si>
  <si>
    <t>Aviz AV 206</t>
  </si>
  <si>
    <t>Aviz AV 108</t>
  </si>
  <si>
    <t>Aviz AV 164</t>
  </si>
  <si>
    <t>Aviz AV 122</t>
  </si>
  <si>
    <t>Aviz AV 178</t>
  </si>
  <si>
    <t>Aviz AV 220</t>
  </si>
  <si>
    <t>NIR 308</t>
  </si>
  <si>
    <t>Aviz AV 137</t>
  </si>
  <si>
    <t>Aviz AV 193</t>
  </si>
  <si>
    <t>Aviz AV 235</t>
  </si>
  <si>
    <t>Bon consum 95</t>
  </si>
  <si>
    <t>Șantier Câmpina</t>
  </si>
  <si>
    <t>Aviz AV 151</t>
  </si>
  <si>
    <t>Aviz AV 207</t>
  </si>
  <si>
    <t>NIR 301</t>
  </si>
  <si>
    <t>Bon consum 109</t>
  </si>
  <si>
    <t>Aviz AV 165</t>
  </si>
  <si>
    <t>Bon consum 123</t>
  </si>
  <si>
    <t>Aviz AV 179</t>
  </si>
  <si>
    <t>Bon consum 221</t>
  </si>
  <si>
    <t>NIR 303</t>
  </si>
  <si>
    <t>Aviz AV 138</t>
  </si>
  <si>
    <t>Aviz AV 194</t>
  </si>
  <si>
    <t>Aviz AV 236</t>
  </si>
  <si>
    <t>Aviz AV 96</t>
  </si>
  <si>
    <t>Aviz AV 152</t>
  </si>
  <si>
    <t>Aviz AV 208</t>
  </si>
  <si>
    <t>Aviz AV 110</t>
  </si>
  <si>
    <t>Aviz AV 166</t>
  </si>
  <si>
    <t>Aviz AV 124</t>
  </si>
  <si>
    <t>Aviz AV 180</t>
  </si>
  <si>
    <t>Aviz AV 222</t>
  </si>
  <si>
    <t>NIR 310</t>
  </si>
  <si>
    <t>Aviz AV 139</t>
  </si>
  <si>
    <t>Aviz AV 195</t>
  </si>
  <si>
    <t>Aviz AV 237</t>
  </si>
  <si>
    <t>Aviz AV 97</t>
  </si>
  <si>
    <t>Aviz AV 153</t>
  </si>
  <si>
    <t>Aviz AV 209</t>
  </si>
  <si>
    <t>Aviz AV 111</t>
  </si>
  <si>
    <t>Aviz AV 167</t>
  </si>
  <si>
    <t>Aviz AV 125</t>
  </si>
  <si>
    <t>Aviz AV 181</t>
  </si>
  <si>
    <t>NIR 309</t>
  </si>
  <si>
    <t>Aviz AV 223</t>
  </si>
  <si>
    <t>Aviz AV 140</t>
  </si>
  <si>
    <t>Aviz AV 196</t>
  </si>
  <si>
    <t>Aviz AV 238</t>
  </si>
  <si>
    <t>Aviz AV 98</t>
  </si>
  <si>
    <t>Aviz AV 154</t>
  </si>
  <si>
    <t>NIR 306</t>
  </si>
  <si>
    <t>Aviz AV 210</t>
  </si>
  <si>
    <t>Aviz AV 112</t>
  </si>
  <si>
    <t>Aviz AV 168</t>
  </si>
  <si>
    <t>Aviz AV 126</t>
  </si>
  <si>
    <t>Aviz AV 182</t>
  </si>
  <si>
    <t>Aviz AV 224</t>
  </si>
  <si>
    <t>Aviz AV 141</t>
  </si>
  <si>
    <t>Aviz AV 197</t>
  </si>
  <si>
    <t>Aviz AV 239</t>
  </si>
  <si>
    <t>Aviz AV 99</t>
  </si>
  <si>
    <t>NIR 304</t>
  </si>
  <si>
    <t>Aviz AV 155</t>
  </si>
  <si>
    <t>NIR 307</t>
  </si>
  <si>
    <t>Aviz AV 211</t>
  </si>
  <si>
    <t>Aviz AV 113</t>
  </si>
  <si>
    <t>Aviz AV 169</t>
  </si>
  <si>
    <t>Aviz AV 127</t>
  </si>
  <si>
    <t>Aviz AV 183</t>
  </si>
  <si>
    <t>Aviz AV 225</t>
  </si>
  <si>
    <t>Aviz AV 142</t>
  </si>
  <si>
    <t>Aviz AV 198</t>
  </si>
  <si>
    <t>Aviz AV 240</t>
  </si>
  <si>
    <t>Bon consum 100</t>
  </si>
  <si>
    <t>Aviz AV 156</t>
  </si>
  <si>
    <t>Aviz AV 212</t>
  </si>
  <si>
    <t>Bon consum 114</t>
  </si>
  <si>
    <t>Aviz AV 170</t>
  </si>
  <si>
    <t>Bon consum 128</t>
  </si>
  <si>
    <t>Aviz AV 184</t>
  </si>
  <si>
    <t>Bon consum 226</t>
  </si>
  <si>
    <t>Aviz AV 143</t>
  </si>
  <si>
    <t>Aviz AV 199</t>
  </si>
  <si>
    <t>Aviz AV 241</t>
  </si>
  <si>
    <t>Aviz AV 101</t>
  </si>
  <si>
    <t>NIR 305</t>
  </si>
  <si>
    <t>Aviz AV 157</t>
  </si>
  <si>
    <t>Aviz AV 213</t>
  </si>
  <si>
    <t>Aviz AV 115</t>
  </si>
  <si>
    <t>Aviz AV 171</t>
  </si>
  <si>
    <t>Aviz AV 129</t>
  </si>
  <si>
    <t>Aviz AV 185</t>
  </si>
  <si>
    <t>Aviz AV 227</t>
  </si>
  <si>
    <t>NIR 302</t>
  </si>
  <si>
    <t>Aviz AV 144</t>
  </si>
  <si>
    <t>Aviz AV 200</t>
  </si>
  <si>
    <t>Aviz AV 242</t>
  </si>
  <si>
    <t>Aviz AV 102</t>
  </si>
  <si>
    <t>Aviz AV 158</t>
  </si>
  <si>
    <t>Aviz AV 214</t>
  </si>
  <si>
    <t>Aviz AV 116</t>
  </si>
  <si>
    <t>Aviz AV 172</t>
  </si>
  <si>
    <t>Aviz AV 130</t>
  </si>
  <si>
    <t>Aviz AV 186</t>
  </si>
  <si>
    <t>Aviz AV 228</t>
  </si>
  <si>
    <t>Aviz AV 145</t>
  </si>
  <si>
    <t>Aviz AV 201</t>
  </si>
  <si>
    <t>Aviz AV 243</t>
  </si>
  <si>
    <t>Aviz AV 103</t>
  </si>
  <si>
    <t>Aviz AV 159</t>
  </si>
  <si>
    <t>Aviz AV 215</t>
  </si>
  <si>
    <t>PV inventar 3/2026</t>
  </si>
  <si>
    <t>Comisia de inventariere</t>
  </si>
  <si>
    <t>Aviz AV 117</t>
  </si>
  <si>
    <t>Aviz AV 173</t>
  </si>
  <si>
    <t>Aviz AV 131</t>
  </si>
  <si>
    <t>Aviz AV 187</t>
  </si>
  <si>
    <t>Aviz AV 229</t>
  </si>
  <si>
    <t>Aviz AV 146</t>
  </si>
  <si>
    <t>Aviz AV 202</t>
  </si>
  <si>
    <t>Aviz AV 244</t>
  </si>
  <si>
    <t>Aviz AV 104</t>
  </si>
  <si>
    <t>Aviz AV 160</t>
  </si>
  <si>
    <t>Aviz AV 216</t>
  </si>
  <si>
    <t>Aviz AV 118</t>
  </si>
  <si>
    <t>Aviz AV 174</t>
  </si>
  <si>
    <t>Aviz AV 132</t>
  </si>
  <si>
    <t>Aviz AV 188</t>
  </si>
  <si>
    <t>Aviz AV 230</t>
  </si>
  <si>
    <t>Stocuri în timp real</t>
  </si>
  <si>
    <t>Se calculează singur din Mișcări, la data de referință. Statusul arată ce trebuie comandat, ce lipsește și ce stă pe raft fără mișcare.</t>
  </si>
  <si>
    <t>Stoc curent</t>
  </si>
  <si>
    <t>Cost mediu ponderat (CMP)</t>
  </si>
  <si>
    <t>Valoare stoc</t>
  </si>
  <si>
    <t>Ieșiri în ultimele zile</t>
  </si>
  <si>
    <t>Consum mediu pe zi</t>
  </si>
  <si>
    <t>Zile de acoperire</t>
  </si>
  <si>
    <t>Ultima mișcare</t>
  </si>
  <si>
    <t>Status</t>
  </si>
  <si>
    <t>Propunere comandă</t>
  </si>
  <si>
    <t>Propunere de comandă către furnizori</t>
  </si>
  <si>
    <t>Produsele sub stocul minim, cu cantitatea care aduce stocul la maxim. Verifică și trimite comanda fiecărui furnizor.</t>
  </si>
  <si>
    <t>Cantitate de comandat</t>
  </si>
  <si>
    <t>Preț achiziție</t>
  </si>
  <si>
    <t>Valoare comandă</t>
  </si>
  <si>
    <t>Livrare estimată</t>
  </si>
  <si>
    <t>Total comandă:</t>
  </si>
  <si>
    <t>Inventar rapid</t>
  </si>
  <si>
    <t>Numără fizic produsele și scrie cantitatea găsită. Diferențele le treci apoi în Mișcări ca „Ajustare inventar +” sau „Ajustare inventar –”.</t>
  </si>
  <si>
    <t>Stoc scriptic</t>
  </si>
  <si>
    <t>Stoc faptic (numărat)</t>
  </si>
  <si>
    <t>Diferență</t>
  </si>
  <si>
    <t>Valoare diferență (la CMP)</t>
  </si>
  <si>
    <t>Observații</t>
  </si>
  <si>
    <t>Lipsă 8 m: capăt de rolă deteriorat</t>
  </si>
  <si>
    <t>Un corp de iluminat spart</t>
  </si>
  <si>
    <t>Total diferențe:</t>
  </si>
  <si>
    <t>Panou de gestiune a stocurilor</t>
  </si>
  <si>
    <t>Valoare totală stoc (lei)</t>
  </si>
  <si>
    <t>Produse în gestiune</t>
  </si>
  <si>
    <t>Sub stoc minim</t>
  </si>
  <si>
    <t>Rupturi de stoc</t>
  </si>
  <si>
    <t>Fără mișcare</t>
  </si>
  <si>
    <t>Valoare comandă propusă (lei)</t>
  </si>
  <si>
    <t>Valoarea stocului pe categorii</t>
  </si>
  <si>
    <t>Valoare (lei)</t>
  </si>
  <si>
    <t>Intrări și ieșiri pe luni (valoare la cost)</t>
  </si>
  <si>
    <t>Luna</t>
  </si>
  <si>
    <t>Intrări (lei)</t>
  </si>
  <si>
    <t>Ieșiri (lei)</t>
  </si>
  <si>
    <t>De rezolvat acum</t>
  </si>
  <si>
    <t>Stoc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</si>
  <si>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</si>
  <si>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</si>
  <si>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modelexcel.ro/program-gestiune-stocuri-excel/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</si>
</sst>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558B2F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sz val="10"/>
      <color rgb="FFFFFFFF"/>
      <name val="Calibri"/>
      <family val="2"/>
    </font>
    <font>
      <sz val="10"/>
      <color rgb="FF5D6B64"/>
      <name val="Calibri"/>
      <family val="2"/>
    </font>
    <font>
      <b/>
      <sz val="18"/>
      <color theme="1"/>
      <name val="Calibri"/>
      <family val="2"/>
    </font>
    <font>
      <b/>
      <sz val="12"/>
      <color rgb="FF558B2F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BF6"/>
        <bgColor indexed="64"/>
      </patternFill>
    </fill>
    <fill>
      <patternFill patternType="solid">
        <fgColor rgb="FF558B2F"/>
        <bgColor indexed="64"/>
      </patternFill>
    </fill>
    <fill>
      <patternFill patternType="solid">
        <fgColor rgb="FFEEF5E8"/>
        <bgColor indexed="64"/>
      </patternFill>
    </fill>
  </fills>
  <borders count="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3" fontId="1" fillId="2" borderId="1" xfId="0" applyNumberFormat="1" applyFont="1" applyFill="1" applyBorder="1"/>
    <xf numFmtId="1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/>
    <xf numFmtId="164" fontId="1" fillId="0" borderId="1" xfId="0" applyNumberFormat="1" applyFont="1" applyBorder="1"/>
    <xf numFmtId="4" fontId="1" fillId="0" borderId="1" xfId="0" applyNumberFormat="1" applyFont="1" applyBorder="1"/>
    <xf numFmtId="0" fontId="6" fillId="0" borderId="1" xfId="0" applyFont="1" applyBorder="1"/>
    <xf numFmtId="0" fontId="3" fillId="0" borderId="0" xfId="0" applyFont="1" applyAlignment="1">
      <alignment horizontal="center"/>
    </xf>
    <xf numFmtId="3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7" fillId="0" borderId="0" xfId="0" applyFont="1"/>
    <xf numFmtId="4" fontId="4" fillId="0" borderId="0" xfId="0" applyNumberFormat="1" applyFont="1" applyAlignment="1">
      <alignment horizontal="right"/>
    </xf>
    <xf numFmtId="4" fontId="4" fillId="0" borderId="0" xfId="0" applyNumberFormat="1" applyFont="1"/>
    <xf numFmtId="164" fontId="4" fillId="0" borderId="1" xfId="0" applyNumberFormat="1" applyFont="1" applyBorder="1"/>
    <xf numFmtId="0" fontId="8" fillId="0" borderId="0" xfId="0" applyFont="1"/>
    <xf numFmtId="0" fontId="10" fillId="0" borderId="0" xfId="0" applyFont="1"/>
    <xf numFmtId="14" fontId="7" fillId="0" borderId="0" xfId="0" applyNumberFormat="1" applyFont="1"/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4" fontId="9" fillId="4" borderId="0" xfId="0" applyNumberFormat="1" applyFont="1" applyFill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17">
    <dxf>
      <font>
        <b/>
        <i val="0"/>
        <color rgb="FFC06000"/>
      </font>
    </dxf>
    <dxf>
      <font>
        <b/>
        <i val="0"/>
        <color rgb="FFB4322A"/>
      </font>
    </dxf>
    <dxf>
      <font>
        <color rgb="FF327D2E"/>
      </font>
    </dxf>
    <dxf>
      <font>
        <color rgb="FFB4322A"/>
      </font>
    </dxf>
    <dxf>
      <font>
        <b/>
        <i val="0"/>
        <color rgb="FFB4322A"/>
      </font>
    </dxf>
    <dxf>
      <font>
        <color rgb="FF327D2E"/>
      </font>
    </dxf>
    <dxf>
      <font>
        <b/>
        <i val="0"/>
        <color rgb="FF5D6B64"/>
      </font>
      <fill>
        <patternFill>
          <bgColor rgb="FFF2F2F2"/>
        </patternFill>
      </fill>
    </dxf>
    <dxf>
      <font>
        <b/>
        <i val="0"/>
        <color rgb="FFC06000"/>
      </font>
    </dxf>
    <dxf>
      <font>
        <b/>
        <i val="0"/>
        <color rgb="FFB4322A"/>
      </font>
      <fill>
        <patternFill>
          <bgColor rgb="FFFBD9D9"/>
        </patternFill>
      </fill>
    </dxf>
    <dxf>
      <font>
        <b/>
        <i val="0"/>
        <color rgb="FFFFFFFF"/>
      </font>
      <fill>
        <patternFill>
          <bgColor rgb="FFB4322A"/>
        </patternFill>
      </fill>
    </dxf>
    <dxf>
      <font>
        <color rgb="FFB4322A"/>
      </font>
    </dxf>
    <dxf>
      <font>
        <color rgb="FFB4322A"/>
      </font>
    </dxf>
    <dxf>
      <font>
        <color rgb="FFB4322A"/>
      </font>
    </dxf>
    <dxf>
      <font>
        <b/>
        <i val="0"/>
        <color rgb="FF5D6B64"/>
      </font>
    </dxf>
    <dxf>
      <font>
        <b/>
        <i val="0"/>
        <color rgb="FFC06000"/>
      </font>
    </dxf>
    <dxf>
      <font>
        <b/>
        <i val="0"/>
        <color rgb="FFB4322A"/>
      </font>
    </dxf>
    <dxf>
      <font>
        <b/>
        <i val="0"/>
        <color rgb="FFFFFFFF"/>
      </font>
      <fill>
        <patternFill>
          <bgColor rgb="FFB4322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es-ES"/>
              <a:t>Intrări și ieșiri pe luni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Intrări</c:v>
          </c:tx>
          <c:spPr>
            <a:solidFill>
              <a:srgbClr val="558B2F"/>
            </a:solidFill>
          </c:spPr>
          <c:invertIfNegative val="0"/>
          <c:cat>
            <c:strRef>
              <c:f>Panou!$G$10:$G$15</c:f>
              <c:strCache>
                <c:ptCount val="6"/>
                <c:pt idx="0">
                  <c:v>mai 2026</c:v>
                </c:pt>
                <c:pt idx="1">
                  <c:v>iun. 2026</c:v>
                </c:pt>
                <c:pt idx="2">
                  <c:v>iul. 2026</c:v>
                </c:pt>
                <c:pt idx="3">
                  <c:v>aug. 2026</c:v>
                </c:pt>
                <c:pt idx="4">
                  <c:v>sep. 2026</c:v>
                </c:pt>
                <c:pt idx="5">
                  <c:v>oct. 2026</c:v>
                </c:pt>
              </c:strCache>
            </c:strRef>
          </c:cat>
          <c:val>
            <c:numRef>
              <c:f>Panou!$H$10:$H$15</c:f>
              <c:numCache>
                <c:formatCode>#,##0.00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8910</c:v>
                </c:pt>
                <c:pt idx="4">
                  <c:v>5634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E03-420C-AEC5-BEB5B7C719F2}"/>
            </c:ext>
          </c:extLst>
        </c:ser>
        <c:ser>
          <c:idx val="1"/>
          <c:order val="1"/>
          <c:tx>
            <c:v>Ieșiri</c:v>
          </c:tx>
          <c:spPr>
            <a:solidFill>
              <a:srgbClr val="E05050"/>
            </a:solidFill>
          </c:spPr>
          <c:invertIfNegative val="0"/>
          <c:cat>
            <c:strRef>
              <c:f>Panou!$G$10:$G$15</c:f>
              <c:strCache>
                <c:ptCount val="6"/>
                <c:pt idx="0">
                  <c:v>mai 2026</c:v>
                </c:pt>
                <c:pt idx="1">
                  <c:v>iun. 2026</c:v>
                </c:pt>
                <c:pt idx="2">
                  <c:v>iul. 2026</c:v>
                </c:pt>
                <c:pt idx="3">
                  <c:v>aug. 2026</c:v>
                </c:pt>
                <c:pt idx="4">
                  <c:v>sep. 2026</c:v>
                </c:pt>
                <c:pt idx="5">
                  <c:v>oct. 2026</c:v>
                </c:pt>
              </c:strCache>
            </c:strRef>
          </c:cat>
          <c:val>
            <c:numRef>
              <c:f>Panou!$I$10:$I$15</c:f>
              <c:numCache>
                <c:formatCode>#,##0.00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6035.3599999999988</c:v>
                </c:pt>
                <c:pt idx="3">
                  <c:v>6544.449999999998</c:v>
                </c:pt>
                <c:pt idx="4">
                  <c:v>6756.5199999999968</c:v>
                </c:pt>
                <c:pt idx="5">
                  <c:v>1830.5099999999998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E03-420C-AEC5-BEB5B7C719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6962408"/>
        <c:axId val="586967088"/>
      </c:barChart>
      <c:catAx>
        <c:axId val="586962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586967088"/>
        <c:crosses val="autoZero"/>
        <c:auto val="1"/>
        <c:lblAlgn val="ctr"/>
        <c:lblOffset val="100"/>
        <c:noMultiLvlLbl val="0"/>
      </c:catAx>
      <c:valAx>
        <c:axId val="58696708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586962408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16</xdr:row>
      <xdr:rowOff>0</xdr:rowOff>
    </xdr:from>
    <xdr:to>
      <xdr:col>12</xdr:col>
      <xdr:colOff>215900</xdr:colOff>
      <xdr:row>33</xdr:row>
      <xdr:rowOff>130175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D1BC7B8-F858-BB79-4B4E-21B4E88216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program-gestiune-stocuri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A7246-B13D-4B63-850D-C25F91BE002F}">
  <dimension ref="B1:O31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30.7109375" style="1" customWidth="1"/>
    <col min="4" max="4" width="16.7109375" style="1" customWidth="1"/>
    <col min="5" max="5" width="14.7109375" style="1" customWidth="1"/>
    <col min="6" max="6" width="3.7109375" style="1" customWidth="1"/>
    <col min="7" max="7" width="14.7109375" style="1" customWidth="1"/>
    <col min="8" max="9" width="13.7109375" style="1" customWidth="1"/>
    <col min="10" max="13" width="14.7109375" style="1" customWidth="1"/>
    <col min="14" max="14" width="11.42578125" style="1"/>
    <col min="15" max="15" width="4.7109375" style="1" customWidth="1"/>
    <col min="16" max="16384" width="11.42578125" style="1"/>
  </cols>
  <sheetData>
    <row r="1" spans="2:15" ht="21" x14ac:dyDescent="0.35">
      <c r="B1" s="2" t="s">
        <v>291</v>
      </c>
    </row>
    <row r="2" spans="2:15" x14ac:dyDescent="0.2">
      <c r="B2" s="27" t="str">
        <f ca="1">Firma&amp;"  ·  "&amp;Gestiunea&amp;"  ·  situația la "&amp;TEXT(DAY(Azi),"00")&amp;"."&amp;TEXT(MONTH(Azi),"00")&amp;"."&amp;YEAR(Azi)</f>
        <v>Exemplu Distribuție SRL  ·  Depozit central Ploiești  ·  situația la 13.10.2026</v>
      </c>
    </row>
    <row r="4" spans="2:15" ht="30" customHeight="1" x14ac:dyDescent="0.2">
      <c r="B4" s="33" t="s">
        <v>292</v>
      </c>
      <c r="C4" s="33"/>
      <c r="D4" s="33" t="s">
        <v>293</v>
      </c>
      <c r="E4" s="33"/>
      <c r="F4" s="33" t="s">
        <v>294</v>
      </c>
      <c r="G4" s="33"/>
      <c r="H4" s="33" t="s">
        <v>295</v>
      </c>
      <c r="I4" s="33"/>
      <c r="J4" s="33" t="s">
        <v>296</v>
      </c>
      <c r="K4" s="33"/>
      <c r="L4" s="33" t="s">
        <v>297</v>
      </c>
      <c r="M4" s="33"/>
    </row>
    <row r="5" spans="2:15" ht="33.950000000000003" customHeight="1" x14ac:dyDescent="0.35">
      <c r="B5" s="35">
        <f ca="1">SUM(Stocuri!$H$5:$H$204)</f>
        <v>11517.16</v>
      </c>
      <c r="C5" s="34"/>
      <c r="D5" s="34">
        <f>COUNTIF(Stocuri!$B$5:$B$204,"?*")</f>
        <v>12</v>
      </c>
      <c r="E5" s="34"/>
      <c r="F5" s="34">
        <f ca="1">COUNTIF(Stocuri!$O$5:$O$204,"Sub stoc minim")</f>
        <v>3</v>
      </c>
      <c r="G5" s="34"/>
      <c r="H5" s="34">
        <f ca="1">COUNTIF(Stocuri!$O$5:$O$204,"Ruptură de stoc")</f>
        <v>1</v>
      </c>
      <c r="I5" s="34"/>
      <c r="J5" s="34">
        <f ca="1">COUNTIF(Stocuri!$O$5:$O$204,"Fără mișcare")</f>
        <v>1</v>
      </c>
      <c r="K5" s="34"/>
      <c r="L5" s="35">
        <f ca="1">'Comandă furnizori'!K45</f>
        <v>9857</v>
      </c>
      <c r="M5" s="34"/>
    </row>
    <row r="8" spans="2:15" ht="15.75" x14ac:dyDescent="0.25">
      <c r="B8" s="28" t="s">
        <v>298</v>
      </c>
      <c r="G8" s="28" t="s">
        <v>300</v>
      </c>
    </row>
    <row r="9" spans="2:15" x14ac:dyDescent="0.2">
      <c r="B9" s="32" t="s">
        <v>30</v>
      </c>
      <c r="C9" s="32"/>
      <c r="D9" s="9" t="s">
        <v>26</v>
      </c>
      <c r="E9" s="9" t="s">
        <v>299</v>
      </c>
      <c r="G9" s="9" t="s">
        <v>301</v>
      </c>
      <c r="H9" s="9" t="s">
        <v>302</v>
      </c>
      <c r="I9" s="9" t="s">
        <v>303</v>
      </c>
    </row>
    <row r="10" spans="2:15" x14ac:dyDescent="0.2">
      <c r="B10" s="31" t="str">
        <f>IF(Setări!$H$5="","",Setări!$H$5)</f>
        <v>Cabluri</v>
      </c>
      <c r="C10" s="31"/>
      <c r="D10" s="11">
        <f>IF(B10="","",COUNTIF(Stocuri!$D$5:$D$204,B10))</f>
        <v>2</v>
      </c>
      <c r="E10" s="18">
        <f ca="1">IF(B10="","",SUMIF(Stocuri!$D$5:$D$204,B10,Stocuri!$H$5:$H$204))</f>
        <v>1608.32</v>
      </c>
      <c r="G10" s="10" t="str">
        <f t="shared" ref="G10:G15" ca="1" si="0">CHOOSE(MONTH(O10),"ian.","feb.","mar.","apr.","mai","iun.","iul.","aug.","sep.","oct.","nov.","dec.")&amp;" "&amp;YEAR(O10)</f>
        <v>mai 2026</v>
      </c>
      <c r="H10" s="18">
        <f ca="1">SUMIFS(Mișcări!$L$5:$L$2004,Mișcări!$B$5:$B$2004,"&gt;="&amp;O10,Mișcări!$B$5:$B$2004,"&lt;"&amp;EDATE(O10,1),Mișcări!$J$5:$J$2004,1,Mișcări!$C$5:$C$2004,"&lt;&gt;Stoc inițial")</f>
        <v>0</v>
      </c>
      <c r="I10" s="18">
        <f ca="1">SUMIFS(Mișcări!$M$5:$M$2004,Mișcări!$B$5:$B$2004,"&gt;="&amp;O10,Mișcări!$B$5:$B$2004,"&lt;"&amp;EDATE(O10,1))</f>
        <v>0</v>
      </c>
      <c r="O10" s="29">
        <f ca="1">DATE(YEAR(Azi),MONTH(Azi)+(-5),1)</f>
        <v>46143</v>
      </c>
    </row>
    <row r="11" spans="2:15" x14ac:dyDescent="0.2">
      <c r="B11" s="31" t="str">
        <f>IF(Setări!$H$6="","",Setări!$H$6)</f>
        <v>Tuburi și doze</v>
      </c>
      <c r="C11" s="31"/>
      <c r="D11" s="11">
        <f>IF(B11="","",COUNTIF(Stocuri!$D$5:$D$204,B11))</f>
        <v>2</v>
      </c>
      <c r="E11" s="18">
        <f ca="1">IF(B11="","",SUMIF(Stocuri!$D$5:$D$204,B11,Stocuri!$H$5:$H$204))</f>
        <v>392.52</v>
      </c>
      <c r="G11" s="10" t="str">
        <f t="shared" ca="1" si="0"/>
        <v>iun. 2026</v>
      </c>
      <c r="H11" s="18">
        <f ca="1">SUMIFS(Mișcări!$L$5:$L$2004,Mișcări!$B$5:$B$2004,"&gt;="&amp;O11,Mișcări!$B$5:$B$2004,"&lt;"&amp;EDATE(O11,1),Mișcări!$J$5:$J$2004,1,Mișcări!$C$5:$C$2004,"&lt;&gt;Stoc inițial")</f>
        <v>0</v>
      </c>
      <c r="I11" s="18">
        <f ca="1">SUMIFS(Mișcări!$M$5:$M$2004,Mișcări!$B$5:$B$2004,"&gt;="&amp;O11,Mișcări!$B$5:$B$2004,"&lt;"&amp;EDATE(O11,1))</f>
        <v>0</v>
      </c>
      <c r="O11" s="29">
        <f ca="1">DATE(YEAR(Azi),MONTH(Azi)+(-4),1)</f>
        <v>46174</v>
      </c>
    </row>
    <row r="12" spans="2:15" x14ac:dyDescent="0.2">
      <c r="B12" s="31" t="str">
        <f>IF(Setări!$H$7="","",Setări!$H$7)</f>
        <v>Aparataj</v>
      </c>
      <c r="C12" s="31"/>
      <c r="D12" s="11">
        <f>IF(B12="","",COUNTIF(Stocuri!$D$5:$D$204,B12))</f>
        <v>2</v>
      </c>
      <c r="E12" s="18">
        <f ca="1">IF(B12="","",SUMIF(Stocuri!$D$5:$D$204,B12,Stocuri!$H$5:$H$204))</f>
        <v>1097.3200000000002</v>
      </c>
      <c r="G12" s="10" t="str">
        <f t="shared" ca="1" si="0"/>
        <v>iul. 2026</v>
      </c>
      <c r="H12" s="18">
        <f ca="1">SUMIFS(Mișcări!$L$5:$L$2004,Mișcări!$B$5:$B$2004,"&gt;="&amp;O12,Mișcări!$B$5:$B$2004,"&lt;"&amp;EDATE(O12,1),Mișcări!$J$5:$J$2004,1,Mișcări!$C$5:$C$2004,"&lt;&gt;Stoc inițial")</f>
        <v>0</v>
      </c>
      <c r="I12" s="18">
        <f ca="1">SUMIFS(Mișcări!$M$5:$M$2004,Mișcări!$B$5:$B$2004,"&gt;="&amp;O12,Mișcări!$B$5:$B$2004,"&lt;"&amp;EDATE(O12,1))</f>
        <v>6035.3599999999988</v>
      </c>
      <c r="O12" s="29">
        <f ca="1">DATE(YEAR(Azi),MONTH(Azi)+(-3),1)</f>
        <v>46204</v>
      </c>
    </row>
    <row r="13" spans="2:15" x14ac:dyDescent="0.2">
      <c r="B13" s="31" t="str">
        <f>IF(Setări!$H$8="","",Setări!$H$8)</f>
        <v>Tablouri și protecții</v>
      </c>
      <c r="C13" s="31"/>
      <c r="D13" s="11">
        <f>IF(B13="","",COUNTIF(Stocuri!$D$5:$D$204,B13))</f>
        <v>2</v>
      </c>
      <c r="E13" s="18">
        <f ca="1">IF(B13="","",SUMIF(Stocuri!$D$5:$D$204,B13,Stocuri!$H$5:$H$204))</f>
        <v>2982</v>
      </c>
      <c r="G13" s="10" t="str">
        <f t="shared" ca="1" si="0"/>
        <v>aug. 2026</v>
      </c>
      <c r="H13" s="18">
        <f ca="1">SUMIFS(Mișcări!$L$5:$L$2004,Mișcări!$B$5:$B$2004,"&gt;="&amp;O13,Mișcări!$B$5:$B$2004,"&lt;"&amp;EDATE(O13,1),Mișcări!$J$5:$J$2004,1,Mișcări!$C$5:$C$2004,"&lt;&gt;Stoc inițial")</f>
        <v>8910</v>
      </c>
      <c r="I13" s="18">
        <f ca="1">SUMIFS(Mișcări!$M$5:$M$2004,Mișcări!$B$5:$B$2004,"&gt;="&amp;O13,Mișcări!$B$5:$B$2004,"&lt;"&amp;EDATE(O13,1))</f>
        <v>6544.449999999998</v>
      </c>
      <c r="O13" s="29">
        <f ca="1">DATE(YEAR(Azi),MONTH(Azi)+(-2),1)</f>
        <v>46235</v>
      </c>
    </row>
    <row r="14" spans="2:15" x14ac:dyDescent="0.2">
      <c r="B14" s="31" t="str">
        <f>IF(Setări!$H$9="","",Setări!$H$9)</f>
        <v>Iluminat</v>
      </c>
      <c r="C14" s="31"/>
      <c r="D14" s="11">
        <f>IF(B14="","",COUNTIF(Stocuri!$D$5:$D$204,B14))</f>
        <v>2</v>
      </c>
      <c r="E14" s="18">
        <f ca="1">IF(B14="","",SUMIF(Stocuri!$D$5:$D$204,B14,Stocuri!$H$5:$H$204))</f>
        <v>4598.3999999999996</v>
      </c>
      <c r="G14" s="10" t="str">
        <f t="shared" ca="1" si="0"/>
        <v>sep. 2026</v>
      </c>
      <c r="H14" s="18">
        <f ca="1">SUMIFS(Mișcări!$L$5:$L$2004,Mișcări!$B$5:$B$2004,"&gt;="&amp;O14,Mișcări!$B$5:$B$2004,"&lt;"&amp;EDATE(O14,1),Mișcări!$J$5:$J$2004,1,Mișcări!$C$5:$C$2004,"&lt;&gt;Stoc inițial")</f>
        <v>5634</v>
      </c>
      <c r="I14" s="18">
        <f ca="1">SUMIFS(Mișcări!$M$5:$M$2004,Mișcări!$B$5:$B$2004,"&gt;="&amp;O14,Mișcări!$B$5:$B$2004,"&lt;"&amp;EDATE(O14,1))</f>
        <v>6756.5199999999968</v>
      </c>
      <c r="O14" s="29">
        <f ca="1">DATE(YEAR(Azi),MONTH(Azi)+(-1),1)</f>
        <v>46266</v>
      </c>
    </row>
    <row r="15" spans="2:15" x14ac:dyDescent="0.2">
      <c r="B15" s="31" t="str">
        <f>IF(Setări!$H$10="","",Setări!$H$10)</f>
        <v>Accesorii</v>
      </c>
      <c r="C15" s="31"/>
      <c r="D15" s="11">
        <f>IF(B15="","",COUNTIF(Stocuri!$D$5:$D$204,B15))</f>
        <v>2</v>
      </c>
      <c r="E15" s="18">
        <f ca="1">IF(B15="","",SUMIF(Stocuri!$D$5:$D$204,B15,Stocuri!$H$5:$H$204))</f>
        <v>838.6</v>
      </c>
      <c r="G15" s="10" t="str">
        <f t="shared" ca="1" si="0"/>
        <v>oct. 2026</v>
      </c>
      <c r="H15" s="18">
        <f ca="1">SUMIFS(Mișcări!$L$5:$L$2004,Mișcări!$B$5:$B$2004,"&gt;="&amp;O15,Mișcări!$B$5:$B$2004,"&lt;"&amp;EDATE(O15,1),Mișcări!$J$5:$J$2004,1,Mișcări!$C$5:$C$2004,"&lt;&gt;Stoc inițial")</f>
        <v>0</v>
      </c>
      <c r="I15" s="18">
        <f ca="1">SUMIFS(Mișcări!$M$5:$M$2004,Mișcări!$B$5:$B$2004,"&gt;="&amp;O15,Mișcări!$B$5:$B$2004,"&lt;"&amp;EDATE(O15,1))</f>
        <v>1830.5099999999998</v>
      </c>
      <c r="O15" s="29">
        <f ca="1">DATE(YEAR(Azi),MONTH(Azi)+(0),1)</f>
        <v>46296</v>
      </c>
    </row>
    <row r="16" spans="2:15" x14ac:dyDescent="0.2">
      <c r="B16" s="31" t="str">
        <f>IF(Setări!$H$11="","",Setări!$H$11)</f>
        <v/>
      </c>
      <c r="C16" s="31"/>
      <c r="D16" s="11" t="str">
        <f>IF(B16="","",COUNTIF(Stocuri!$D$5:$D$204,B16))</f>
        <v/>
      </c>
      <c r="E16" s="18" t="str">
        <f>IF(B16="","",SUMIF(Stocuri!$D$5:$D$204,B16,Stocuri!$H$5:$H$204))</f>
        <v/>
      </c>
    </row>
    <row r="17" spans="2:15" x14ac:dyDescent="0.2">
      <c r="B17" s="31" t="str">
        <f>IF(Setări!$H$12="","",Setări!$H$12)</f>
        <v/>
      </c>
      <c r="C17" s="31"/>
      <c r="D17" s="11" t="str">
        <f>IF(B17="","",COUNTIF(Stocuri!$D$5:$D$204,B17))</f>
        <v/>
      </c>
      <c r="E17" s="18" t="str">
        <f>IF(B17="","",SUMIF(Stocuri!$D$5:$D$204,B17,Stocuri!$H$5:$H$204))</f>
        <v/>
      </c>
    </row>
    <row r="18" spans="2:15" x14ac:dyDescent="0.2">
      <c r="B18" s="31" t="str">
        <f>IF(Setări!$H$13="","",Setări!$H$13)</f>
        <v/>
      </c>
      <c r="C18" s="31"/>
      <c r="D18" s="11" t="str">
        <f>IF(B18="","",COUNTIF(Stocuri!$D$5:$D$204,B18))</f>
        <v/>
      </c>
      <c r="E18" s="18" t="str">
        <f>IF(B18="","",SUMIF(Stocuri!$D$5:$D$204,B18,Stocuri!$H$5:$H$204))</f>
        <v/>
      </c>
    </row>
    <row r="19" spans="2:15" x14ac:dyDescent="0.2">
      <c r="B19" s="31" t="str">
        <f>IF(Setări!$H$14="","",Setări!$H$14)</f>
        <v/>
      </c>
      <c r="C19" s="31"/>
      <c r="D19" s="11" t="str">
        <f>IF(B19="","",COUNTIF(Stocuri!$D$5:$D$204,B19))</f>
        <v/>
      </c>
      <c r="E19" s="18" t="str">
        <f>IF(B19="","",SUMIF(Stocuri!$D$5:$D$204,B19,Stocuri!$H$5:$H$204))</f>
        <v/>
      </c>
    </row>
    <row r="22" spans="2:15" ht="15.75" x14ac:dyDescent="0.25">
      <c r="B22" s="28" t="s">
        <v>304</v>
      </c>
    </row>
    <row r="23" spans="2:15" x14ac:dyDescent="0.2">
      <c r="B23" s="9" t="s">
        <v>28</v>
      </c>
      <c r="C23" s="9" t="s">
        <v>29</v>
      </c>
      <c r="D23" s="9" t="s">
        <v>272</v>
      </c>
      <c r="E23" s="9" t="s">
        <v>305</v>
      </c>
    </row>
    <row r="24" spans="2:15" x14ac:dyDescent="0.2">
      <c r="B24" s="11" t="str">
        <f ca="1">IF($O24=0,"",INDEX(Stocuri!$B$5:$B$204,$O24))</f>
        <v>P02</v>
      </c>
      <c r="C24" s="10" t="str">
        <f ca="1">IF($O24=0,"",INDEX(Stocuri!$C$5:$C$204,$O24))</f>
        <v>Tub flexibil PVC 20 mm</v>
      </c>
      <c r="D24" s="10" t="str">
        <f ca="1">IF($O24=0,"",INDEX(Stocuri!$O$5:$O$204,$O24))</f>
        <v>Sub stoc minim</v>
      </c>
      <c r="E24" s="30" t="str">
        <f ca="1">IF($O24=0,"",INDEX(Stocuri!$F$5:$F$204,$O24)&amp;" "&amp;INDEX(Stocuri!$E$5:$E$204,$O24))</f>
        <v>100 m</v>
      </c>
      <c r="O24" s="23">
        <f ca="1">IFERROR(_xlfn.AGGREGATE(15,6,(ROW(Stocuri!$O$5:$O$204)-4)/((Stocuri!$O$5:$O$204&lt;&gt;"OK")*(Stocuri!$O$5:$O$204&lt;&gt;"")),1),0)</f>
        <v>2</v>
      </c>
    </row>
    <row r="25" spans="2:15" x14ac:dyDescent="0.2">
      <c r="B25" s="11" t="str">
        <f ca="1">IF($O25=0,"",INDEX(Stocuri!$B$5:$B$204,$O25))</f>
        <v>P05</v>
      </c>
      <c r="C25" s="10" t="str">
        <f ca="1">IF($O25=0,"",INDEX(Stocuri!$C$5:$C$204,$O25))</f>
        <v>Priză dublă cu împământare</v>
      </c>
      <c r="D25" s="10" t="str">
        <f ca="1">IF($O25=0,"",INDEX(Stocuri!$O$5:$O$204,$O25))</f>
        <v>Sub stoc minim</v>
      </c>
      <c r="E25" s="30" t="str">
        <f ca="1">IF($O25=0,"",INDEX(Stocuri!$F$5:$F$204,$O25)&amp;" "&amp;INDEX(Stocuri!$E$5:$E$204,$O25))</f>
        <v>30 buc</v>
      </c>
      <c r="O25" s="23">
        <f ca="1">IFERROR(_xlfn.AGGREGATE(15,6,(ROW(Stocuri!$O$5:$O$204)-4)/((Stocuri!$O$5:$O$204&lt;&gt;"OK")*(Stocuri!$O$5:$O$204&lt;&gt;"")),2),0)</f>
        <v>5</v>
      </c>
    </row>
    <row r="26" spans="2:15" x14ac:dyDescent="0.2">
      <c r="B26" s="11" t="str">
        <f ca="1">IF($O26=0,"",INDEX(Stocuri!$B$5:$B$204,$O26))</f>
        <v>P08</v>
      </c>
      <c r="C26" s="10" t="str">
        <f ca="1">IF($O26=0,"",INDEX(Stocuri!$C$5:$C$204,$O26))</f>
        <v>Corp iluminat LED 36W</v>
      </c>
      <c r="D26" s="10" t="str">
        <f ca="1">IF($O26=0,"",INDEX(Stocuri!$O$5:$O$204,$O26))</f>
        <v>Sub stoc minim</v>
      </c>
      <c r="E26" s="30" t="str">
        <f ca="1">IF($O26=0,"",INDEX(Stocuri!$F$5:$F$204,$O26)&amp;" "&amp;INDEX(Stocuri!$E$5:$E$204,$O26))</f>
        <v>16 buc</v>
      </c>
      <c r="O26" s="23">
        <f ca="1">IFERROR(_xlfn.AGGREGATE(15,6,(ROW(Stocuri!$O$5:$O$204)-4)/((Stocuri!$O$5:$O$204&lt;&gt;"OK")*(Stocuri!$O$5:$O$204&lt;&gt;"")),3),0)</f>
        <v>8</v>
      </c>
    </row>
    <row r="27" spans="2:15" x14ac:dyDescent="0.2">
      <c r="B27" s="11" t="str">
        <f ca="1">IF($O27=0,"",INDEX(Stocuri!$B$5:$B$204,$O27))</f>
        <v>P09</v>
      </c>
      <c r="C27" s="10" t="str">
        <f ca="1">IF($O27=0,"",INDEX(Stocuri!$C$5:$C$204,$O27))</f>
        <v>Bec LED E27 9W</v>
      </c>
      <c r="D27" s="10" t="str">
        <f ca="1">IF($O27=0,"",INDEX(Stocuri!$O$5:$O$204,$O27))</f>
        <v>Exces de stoc</v>
      </c>
      <c r="E27" s="30" t="str">
        <f ca="1">IF($O27=0,"",INDEX(Stocuri!$F$5:$F$204,$O27)&amp;" "&amp;INDEX(Stocuri!$E$5:$E$204,$O27))</f>
        <v>560 buc</v>
      </c>
      <c r="O27" s="23">
        <f ca="1">IFERROR(_xlfn.AGGREGATE(15,6,(ROW(Stocuri!$O$5:$O$204)-4)/((Stocuri!$O$5:$O$204&lt;&gt;"OK")*(Stocuri!$O$5:$O$204&lt;&gt;"")),4),0)</f>
        <v>9</v>
      </c>
    </row>
    <row r="28" spans="2:15" x14ac:dyDescent="0.2">
      <c r="B28" s="11" t="str">
        <f ca="1">IF($O28=0,"",INDEX(Stocuri!$B$5:$B$204,$O28))</f>
        <v>P10</v>
      </c>
      <c r="C28" s="10" t="str">
        <f ca="1">IF($O28=0,"",INDEX(Stocuri!$C$5:$C$204,$O28))</f>
        <v>Prelungitor 5 prize cu întrerupător</v>
      </c>
      <c r="D28" s="10" t="str">
        <f ca="1">IF($O28=0,"",INDEX(Stocuri!$O$5:$O$204,$O28))</f>
        <v>Fără mișcare</v>
      </c>
      <c r="E28" s="30" t="str">
        <f ca="1">IF($O28=0,"",INDEX(Stocuri!$F$5:$F$204,$O28)&amp;" "&amp;INDEX(Stocuri!$E$5:$E$204,$O28))</f>
        <v>25 buc</v>
      </c>
      <c r="O28" s="23">
        <f ca="1">IFERROR(_xlfn.AGGREGATE(15,6,(ROW(Stocuri!$O$5:$O$204)-4)/((Stocuri!$O$5:$O$204&lt;&gt;"OK")*(Stocuri!$O$5:$O$204&lt;&gt;"")),5),0)</f>
        <v>10</v>
      </c>
    </row>
    <row r="29" spans="2:15" x14ac:dyDescent="0.2">
      <c r="B29" s="11" t="str">
        <f ca="1">IF($O29=0,"",INDEX(Stocuri!$B$5:$B$204,$O29))</f>
        <v>P12</v>
      </c>
      <c r="C29" s="10" t="str">
        <f ca="1">IF($O29=0,"",INDEX(Stocuri!$C$5:$C$204,$O29))</f>
        <v>Cablu MYF 1,5 mm</v>
      </c>
      <c r="D29" s="10" t="str">
        <f ca="1">IF($O29=0,"",INDEX(Stocuri!$O$5:$O$204,$O29))</f>
        <v>Ruptură de stoc</v>
      </c>
      <c r="E29" s="30" t="str">
        <f ca="1">IF($O29=0,"",INDEX(Stocuri!$F$5:$F$204,$O29)&amp;" "&amp;INDEX(Stocuri!$E$5:$E$204,$O29))</f>
        <v>0 m</v>
      </c>
      <c r="O29" s="23">
        <f ca="1">IFERROR(_xlfn.AGGREGATE(15,6,(ROW(Stocuri!$O$5:$O$204)-4)/((Stocuri!$O$5:$O$204&lt;&gt;"OK")*(Stocuri!$O$5:$O$204&lt;&gt;"")),6),0)</f>
        <v>12</v>
      </c>
    </row>
    <row r="30" spans="2:15" x14ac:dyDescent="0.2">
      <c r="B30" s="11" t="str">
        <f ca="1">IF($O30=0,"",INDEX(Stocuri!$B$5:$B$204,$O30))</f>
        <v/>
      </c>
      <c r="C30" s="10" t="str">
        <f ca="1">IF($O30=0,"",INDEX(Stocuri!$C$5:$C$204,$O30))</f>
        <v/>
      </c>
      <c r="D30" s="10" t="str">
        <f ca="1">IF($O30=0,"",INDEX(Stocuri!$O$5:$O$204,$O30))</f>
        <v/>
      </c>
      <c r="E30" s="30" t="str">
        <f ca="1">IF($O30=0,"",INDEX(Stocuri!$F$5:$F$204,$O30)&amp;" "&amp;INDEX(Stocuri!$E$5:$E$204,$O30))</f>
        <v/>
      </c>
      <c r="O30" s="23">
        <f ca="1">IFERROR(_xlfn.AGGREGATE(15,6,(ROW(Stocuri!$O$5:$O$204)-4)/((Stocuri!$O$5:$O$204&lt;&gt;"OK")*(Stocuri!$O$5:$O$204&lt;&gt;"")),7),0)</f>
        <v>0</v>
      </c>
    </row>
    <row r="31" spans="2:15" x14ac:dyDescent="0.2">
      <c r="B31" s="11" t="str">
        <f ca="1">IF($O31=0,"",INDEX(Stocuri!$B$5:$B$204,$O31))</f>
        <v/>
      </c>
      <c r="C31" s="10" t="str">
        <f ca="1">IF($O31=0,"",INDEX(Stocuri!$C$5:$C$204,$O31))</f>
        <v/>
      </c>
      <c r="D31" s="10" t="str">
        <f ca="1">IF($O31=0,"",INDEX(Stocuri!$O$5:$O$204,$O31))</f>
        <v/>
      </c>
      <c r="E31" s="30" t="str">
        <f ca="1">IF($O31=0,"",INDEX(Stocuri!$F$5:$F$204,$O31)&amp;" "&amp;INDEX(Stocuri!$E$5:$E$204,$O31))</f>
        <v/>
      </c>
      <c r="O31" s="23">
        <f ca="1">IFERROR(_xlfn.AGGREGATE(15,6,(ROW(Stocuri!$O$5:$O$204)-4)/((Stocuri!$O$5:$O$204&lt;&gt;"OK")*(Stocuri!$O$5:$O$204&lt;&gt;"")),8),0)</f>
        <v>0</v>
      </c>
    </row>
  </sheetData>
  <mergeCells count="23">
    <mergeCell ref="L4:M4"/>
    <mergeCell ref="L5:M5"/>
    <mergeCell ref="B4:C4"/>
    <mergeCell ref="B5:C5"/>
    <mergeCell ref="D4:E4"/>
    <mergeCell ref="D5:E5"/>
    <mergeCell ref="F4:G4"/>
    <mergeCell ref="F5:G5"/>
    <mergeCell ref="B14:C14"/>
    <mergeCell ref="H4:I4"/>
    <mergeCell ref="H5:I5"/>
    <mergeCell ref="J4:K4"/>
    <mergeCell ref="J5:K5"/>
    <mergeCell ref="B9:C9"/>
    <mergeCell ref="B10:C10"/>
    <mergeCell ref="B11:C11"/>
    <mergeCell ref="B12:C12"/>
    <mergeCell ref="B13:C13"/>
    <mergeCell ref="B15:C15"/>
    <mergeCell ref="B16:C16"/>
    <mergeCell ref="B17:C17"/>
    <mergeCell ref="B18:C18"/>
    <mergeCell ref="B19:C19"/>
  </mergeCells>
  <conditionalFormatting sqref="D24:D31">
    <cfRule type="cellIs" dxfId="16" priority="4" stopIfTrue="1" operator="equal">
      <formula>"Ruptură de stoc"</formula>
    </cfRule>
    <cfRule type="cellIs" dxfId="15" priority="5" stopIfTrue="1" operator="equal">
      <formula>"Sub stoc minim"</formula>
    </cfRule>
    <cfRule type="cellIs" dxfId="14" priority="6" stopIfTrue="1" operator="equal">
      <formula>"Exces de stoc"</formula>
    </cfRule>
    <cfRule type="cellIs" dxfId="13" priority="7" stopIfTrue="1" operator="equal">
      <formula>"Fără mișcare"</formula>
    </cfRule>
  </conditionalFormatting>
  <conditionalFormatting sqref="F5">
    <cfRule type="cellIs" dxfId="12" priority="1" stopIfTrue="1" operator="greaterThan">
      <formula>0</formula>
    </cfRule>
  </conditionalFormatting>
  <conditionalFormatting sqref="H5">
    <cfRule type="cellIs" dxfId="11" priority="2" stopIfTrue="1" operator="greaterThan">
      <formula>0</formula>
    </cfRule>
  </conditionalFormatting>
  <conditionalFormatting sqref="J5">
    <cfRule type="cellIs" dxfId="10" priority="3" stopIfTrue="1" operator="greaterThan">
      <formula>0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DC41-C13A-4EB3-8757-68D18A11F6D3}">
  <dimension ref="B1:P204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32.7109375" style="1" customWidth="1"/>
    <col min="4" max="4" width="18.7109375" style="1" customWidth="1"/>
    <col min="5" max="5" width="6.7109375" style="1" customWidth="1"/>
    <col min="6" max="6" width="9.7109375" style="1" customWidth="1"/>
    <col min="7" max="7" width="11.7109375" style="1" customWidth="1"/>
    <col min="8" max="8" width="12.7109375" style="1" customWidth="1"/>
    <col min="9" max="10" width="8.7109375" style="1" customWidth="1"/>
    <col min="11" max="13" width="9.7109375" style="1" customWidth="1"/>
    <col min="14" max="14" width="11.7109375" style="1" customWidth="1"/>
    <col min="15" max="15" width="15.7109375" style="1" customWidth="1"/>
    <col min="16" max="16" width="10.7109375" style="1" customWidth="1"/>
    <col min="17" max="16384" width="11.42578125" style="1"/>
  </cols>
  <sheetData>
    <row r="1" spans="2:16" ht="21" x14ac:dyDescent="0.35">
      <c r="B1" s="2" t="s">
        <v>263</v>
      </c>
    </row>
    <row r="2" spans="2:16" x14ac:dyDescent="0.2">
      <c r="B2" s="3" t="s">
        <v>264</v>
      </c>
    </row>
    <row r="3" spans="2:16" x14ac:dyDescent="0.2">
      <c r="K3" s="20" t="str">
        <f>"(ultimele "&amp;ZileConsum&amp;" zile)"</f>
        <v>(ultimele 30 zile)</v>
      </c>
    </row>
    <row r="4" spans="2:16" ht="44.1" customHeight="1" x14ac:dyDescent="0.2">
      <c r="B4" s="9" t="s">
        <v>28</v>
      </c>
      <c r="C4" s="9" t="s">
        <v>29</v>
      </c>
      <c r="D4" s="9" t="s">
        <v>30</v>
      </c>
      <c r="E4" s="9" t="s">
        <v>31</v>
      </c>
      <c r="F4" s="9" t="s">
        <v>265</v>
      </c>
      <c r="G4" s="9" t="s">
        <v>266</v>
      </c>
      <c r="H4" s="9" t="s">
        <v>267</v>
      </c>
      <c r="I4" s="9" t="s">
        <v>35</v>
      </c>
      <c r="J4" s="9" t="s">
        <v>36</v>
      </c>
      <c r="K4" s="9" t="s">
        <v>268</v>
      </c>
      <c r="L4" s="9" t="s">
        <v>269</v>
      </c>
      <c r="M4" s="9" t="s">
        <v>270</v>
      </c>
      <c r="N4" s="9" t="s">
        <v>271</v>
      </c>
      <c r="O4" s="9" t="s">
        <v>272</v>
      </c>
      <c r="P4" s="9" t="s">
        <v>273</v>
      </c>
    </row>
    <row r="5" spans="2:16" x14ac:dyDescent="0.2">
      <c r="B5" s="11" t="str">
        <f>IF(Produse!B5="","",Produse!B5)</f>
        <v>P01</v>
      </c>
      <c r="C5" s="10" t="str">
        <f>IF(B5="","",Produse!C5)</f>
        <v>Cablu CYY-F 3x2,5</v>
      </c>
      <c r="D5" s="10" t="str">
        <f>IF(B5="","",Produse!D5)</f>
        <v>Cabluri</v>
      </c>
      <c r="E5" s="11" t="str">
        <f>IF(B5="","",Produse!E5)</f>
        <v>m</v>
      </c>
      <c r="F5" s="17">
        <f ca="1">IF(B5="","",SUMIFS(Mișcări!$K$5:$K$2004,Mișcări!$D$5:$D$2004,B5,Mișcări!$B$5:$B$2004,"&lt;="&amp;Azi))</f>
        <v>448</v>
      </c>
      <c r="G5" s="18">
        <f>IF(B5="","",IFERROR(SUMIFS(Mișcări!$L$5:$L$2004,Mișcări!$D$5:$D$2004,B5)/SUMIFS(Mișcări!$F$5:$F$2004,Mișcări!$D$5:$D$2004,B5,Mișcări!$J$5:$J$2004,1,Mișcări!$G$5:$G$2004,"&gt;0"),Produse!G5))</f>
        <v>3.59</v>
      </c>
      <c r="H5" s="18">
        <f t="shared" ref="H5:H36" ca="1" si="0">IF(B5="","",ROUND(MAX(0,F5)*G5,2))</f>
        <v>1608.32</v>
      </c>
      <c r="I5" s="21">
        <f>IF(B5="","",Produse!I5)</f>
        <v>300</v>
      </c>
      <c r="J5" s="21">
        <f>IF(B5="","",Produse!J5)</f>
        <v>1500</v>
      </c>
      <c r="K5" s="21">
        <f ca="1">IF(B5="","",-SUMIFS(Mișcări!$K$5:$K$2004,Mișcări!$D$5:$D$2004,B5,Mișcări!$J$5:$J$2004,-1,Mișcări!$B$5:$B$2004,"&gt;"&amp;(Azi-ZileConsum),Mișcări!$B$5:$B$2004,"&lt;="&amp;Azi))</f>
        <v>452</v>
      </c>
      <c r="L5" s="17">
        <f t="shared" ref="L5:L36" ca="1" si="1">IF(B5="","",K5/ZileConsum)</f>
        <v>15.066666666666666</v>
      </c>
      <c r="M5" s="11">
        <f t="shared" ref="M5:M36" ca="1" si="2">IF(B5="","",IF(N(L5)=0,"–",ROUND(MAX(0,F5)/L5,0)))</f>
        <v>30</v>
      </c>
      <c r="N5" s="22">
        <f>IF(B5="","",IFERROR(_xlfn.AGGREGATE(14,6,Mișcări!$B$5:$B$2004/(Mișcări!$D$5:$D$2004=B5),1),""))</f>
        <v>46301</v>
      </c>
      <c r="O5" s="11" t="str">
        <f t="shared" ref="O5:O36" ca="1" si="3">IF(B5="","",IF(F5&lt;=0,"Ruptură de stoc",IF(F5&lt;I5,"Sub stoc minim",IF(AND(N(J5)&gt;0,F5&gt;J5),"Exces de stoc",IF(AND(N5&lt;&gt;"",Azi-N5&gt;ZileMort),"Fără mișcare","OK")))))</f>
        <v>OK</v>
      </c>
      <c r="P5" s="21">
        <f t="shared" ref="P5:P36" ca="1" si="4">IF(B5="","",IF(F5&lt;I5,MAX(0,J5-MAX(0,F5)),0))</f>
        <v>0</v>
      </c>
    </row>
    <row r="6" spans="2:16" x14ac:dyDescent="0.2">
      <c r="B6" s="11" t="str">
        <f>IF(Produse!B6="","",Produse!B6)</f>
        <v>P02</v>
      </c>
      <c r="C6" s="10" t="str">
        <f>IF(B6="","",Produse!C6)</f>
        <v>Tub flexibil PVC 20 mm</v>
      </c>
      <c r="D6" s="10" t="str">
        <f>IF(B6="","",Produse!D6)</f>
        <v>Tuburi și doze</v>
      </c>
      <c r="E6" s="11" t="str">
        <f>IF(B6="","",Produse!E6)</f>
        <v>m</v>
      </c>
      <c r="F6" s="17">
        <f ca="1">IF(B6="","",SUMIFS(Mișcări!$K$5:$K$2004,Mișcări!$D$5:$D$2004,B6,Mișcări!$B$5:$B$2004,"&lt;="&amp;Azi))</f>
        <v>100</v>
      </c>
      <c r="G6" s="18">
        <f>IF(B6="","",IFERROR(SUMIFS(Mișcări!$L$5:$L$2004,Mișcări!$D$5:$D$2004,B6)/SUMIFS(Mișcări!$F$5:$F$2004,Mișcări!$D$5:$D$2004,B6,Mișcări!$J$5:$J$2004,1,Mișcări!$G$5:$G$2004,"&gt;0"),Produse!G6))</f>
        <v>1.16875</v>
      </c>
      <c r="H6" s="18">
        <f t="shared" ca="1" si="0"/>
        <v>116.88</v>
      </c>
      <c r="I6" s="21">
        <f>IF(B6="","",Produse!I6)</f>
        <v>200</v>
      </c>
      <c r="J6" s="21">
        <f>IF(B6="","",Produse!J6)</f>
        <v>800</v>
      </c>
      <c r="K6" s="21">
        <f ca="1">IF(B6="","",-SUMIFS(Mișcări!$K$5:$K$2004,Mișcări!$D$5:$D$2004,B6,Mișcări!$J$5:$J$2004,-1,Mișcări!$B$5:$B$2004,"&gt;"&amp;(Azi-ZileConsum),Mișcări!$B$5:$B$2004,"&lt;="&amp;Azi))</f>
        <v>200</v>
      </c>
      <c r="L6" s="17">
        <f t="shared" ca="1" si="1"/>
        <v>6.666666666666667</v>
      </c>
      <c r="M6" s="11">
        <f t="shared" ca="1" si="2"/>
        <v>15</v>
      </c>
      <c r="N6" s="22">
        <f>IF(B6="","",IFERROR(_xlfn.AGGREGATE(14,6,Mișcări!$B$5:$B$2004/(Mișcări!$D$5:$D$2004=B6),1),""))</f>
        <v>46302</v>
      </c>
      <c r="O6" s="11" t="str">
        <f t="shared" ca="1" si="3"/>
        <v>Sub stoc minim</v>
      </c>
      <c r="P6" s="21">
        <f t="shared" ca="1" si="4"/>
        <v>700</v>
      </c>
    </row>
    <row r="7" spans="2:16" x14ac:dyDescent="0.2">
      <c r="B7" s="11" t="str">
        <f>IF(Produse!B7="","",Produse!B7)</f>
        <v>P03</v>
      </c>
      <c r="C7" s="10" t="str">
        <f>IF(B7="","",Produse!C7)</f>
        <v>Doză aparat îngropată</v>
      </c>
      <c r="D7" s="10" t="str">
        <f>IF(B7="","",Produse!D7)</f>
        <v>Tuburi și doze</v>
      </c>
      <c r="E7" s="11" t="str">
        <f>IF(B7="","",Produse!E7)</f>
        <v>buc</v>
      </c>
      <c r="F7" s="17">
        <f ca="1">IF(B7="","",SUMIFS(Mișcări!$K$5:$K$2004,Mișcări!$D$5:$D$2004,B7,Mișcări!$B$5:$B$2004,"&lt;="&amp;Azi))</f>
        <v>400</v>
      </c>
      <c r="G7" s="18">
        <f>IF(B7="","",IFERROR(SUMIFS(Mișcări!$L$5:$L$2004,Mișcări!$D$5:$D$2004,B7)/SUMIFS(Mișcări!$F$5:$F$2004,Mișcări!$D$5:$D$2004,B7,Mișcări!$J$5:$J$2004,1,Mișcări!$G$5:$G$2004,"&gt;0"),Produse!G7))</f>
        <v>0.68909090909090909</v>
      </c>
      <c r="H7" s="18">
        <f t="shared" ca="1" si="0"/>
        <v>275.64</v>
      </c>
      <c r="I7" s="21">
        <f>IF(B7="","",Produse!I7)</f>
        <v>200</v>
      </c>
      <c r="J7" s="21">
        <f>IF(B7="","",Produse!J7)</f>
        <v>1000</v>
      </c>
      <c r="K7" s="21">
        <f ca="1">IF(B7="","",-SUMIFS(Mișcări!$K$5:$K$2004,Mișcări!$D$5:$D$2004,B7,Mișcări!$J$5:$J$2004,-1,Mișcări!$B$5:$B$2004,"&gt;"&amp;(Azi-ZileConsum),Mișcări!$B$5:$B$2004,"&lt;="&amp;Azi))</f>
        <v>200</v>
      </c>
      <c r="L7" s="17">
        <f t="shared" ca="1" si="1"/>
        <v>6.666666666666667</v>
      </c>
      <c r="M7" s="11">
        <f t="shared" ca="1" si="2"/>
        <v>60</v>
      </c>
      <c r="N7" s="22">
        <f>IF(B7="","",IFERROR(_xlfn.AGGREGATE(14,6,Mișcări!$B$5:$B$2004/(Mișcări!$D$5:$D$2004=B7),1),""))</f>
        <v>46303</v>
      </c>
      <c r="O7" s="11" t="str">
        <f t="shared" ca="1" si="3"/>
        <v>OK</v>
      </c>
      <c r="P7" s="21">
        <f t="shared" ca="1" si="4"/>
        <v>0</v>
      </c>
    </row>
    <row r="8" spans="2:16" x14ac:dyDescent="0.2">
      <c r="B8" s="11" t="str">
        <f>IF(Produse!B8="","",Produse!B8)</f>
        <v>P04</v>
      </c>
      <c r="C8" s="10" t="str">
        <f>IF(B8="","",Produse!C8)</f>
        <v>Întrerupător simplu Schneider Sedna</v>
      </c>
      <c r="D8" s="10" t="str">
        <f>IF(B8="","",Produse!D8)</f>
        <v>Aparataj</v>
      </c>
      <c r="E8" s="11" t="str">
        <f>IF(B8="","",Produse!E8)</f>
        <v>buc</v>
      </c>
      <c r="F8" s="17">
        <f ca="1">IF(B8="","",SUMIFS(Mișcări!$K$5:$K$2004,Mișcări!$D$5:$D$2004,B8,Mișcări!$B$5:$B$2004,"&lt;="&amp;Azi))</f>
        <v>74</v>
      </c>
      <c r="G8" s="18">
        <f>IF(B8="","",IFERROR(SUMIFS(Mișcări!$L$5:$L$2004,Mișcări!$D$5:$D$2004,B8)/SUMIFS(Mișcări!$F$5:$F$2004,Mișcări!$D$5:$D$2004,B8,Mișcări!$J$5:$J$2004,1,Mișcări!$G$5:$G$2004,"&gt;0"),Produse!G8))</f>
        <v>9.68</v>
      </c>
      <c r="H8" s="18">
        <f t="shared" ca="1" si="0"/>
        <v>716.32</v>
      </c>
      <c r="I8" s="21">
        <f>IF(B8="","",Produse!I8)</f>
        <v>40</v>
      </c>
      <c r="J8" s="21">
        <f>IF(B8="","",Produse!J8)</f>
        <v>200</v>
      </c>
      <c r="K8" s="21">
        <f ca="1">IF(B8="","",-SUMIFS(Mișcări!$K$5:$K$2004,Mișcări!$D$5:$D$2004,B8,Mișcări!$J$5:$J$2004,-1,Mișcări!$B$5:$B$2004,"&gt;"&amp;(Azi-ZileConsum),Mișcări!$B$5:$B$2004,"&lt;="&amp;Azi))</f>
        <v>36</v>
      </c>
      <c r="L8" s="17">
        <f t="shared" ca="1" si="1"/>
        <v>1.2</v>
      </c>
      <c r="M8" s="11">
        <f t="shared" ca="1" si="2"/>
        <v>62</v>
      </c>
      <c r="N8" s="22">
        <f>IF(B8="","",IFERROR(_xlfn.AGGREGATE(14,6,Mișcări!$B$5:$B$2004/(Mișcări!$D$5:$D$2004=B8),1),""))</f>
        <v>46300</v>
      </c>
      <c r="O8" s="11" t="str">
        <f t="shared" ca="1" si="3"/>
        <v>OK</v>
      </c>
      <c r="P8" s="21">
        <f t="shared" ca="1" si="4"/>
        <v>0</v>
      </c>
    </row>
    <row r="9" spans="2:16" x14ac:dyDescent="0.2">
      <c r="B9" s="11" t="str">
        <f>IF(Produse!B9="","",Produse!B9)</f>
        <v>P05</v>
      </c>
      <c r="C9" s="10" t="str">
        <f>IF(B9="","",Produse!C9)</f>
        <v>Priză dublă cu împământare</v>
      </c>
      <c r="D9" s="10" t="str">
        <f>IF(B9="","",Produse!D9)</f>
        <v>Aparataj</v>
      </c>
      <c r="E9" s="11" t="str">
        <f>IF(B9="","",Produse!E9)</f>
        <v>buc</v>
      </c>
      <c r="F9" s="17">
        <f ca="1">IF(B9="","",SUMIFS(Mișcări!$K$5:$K$2004,Mișcări!$D$5:$D$2004,B9,Mișcări!$B$5:$B$2004,"&lt;="&amp;Azi))</f>
        <v>30</v>
      </c>
      <c r="G9" s="18">
        <f>IF(B9="","",IFERROR(SUMIFS(Mișcări!$L$5:$L$2004,Mișcări!$D$5:$D$2004,B9)/SUMIFS(Mișcări!$F$5:$F$2004,Mișcări!$D$5:$D$2004,B9,Mișcări!$J$5:$J$2004,1,Mișcări!$G$5:$G$2004,"&gt;0"),Produse!G9))</f>
        <v>12.7</v>
      </c>
      <c r="H9" s="18">
        <f t="shared" ca="1" si="0"/>
        <v>381</v>
      </c>
      <c r="I9" s="21">
        <f>IF(B9="","",Produse!I9)</f>
        <v>40</v>
      </c>
      <c r="J9" s="21">
        <f>IF(B9="","",Produse!J9)</f>
        <v>200</v>
      </c>
      <c r="K9" s="21">
        <f ca="1">IF(B9="","",-SUMIFS(Mișcări!$K$5:$K$2004,Mișcări!$D$5:$D$2004,B9,Mișcări!$J$5:$J$2004,-1,Mișcări!$B$5:$B$2004,"&gt;"&amp;(Azi-ZileConsum),Mișcări!$B$5:$B$2004,"&lt;="&amp;Azi))</f>
        <v>20</v>
      </c>
      <c r="L9" s="17">
        <f t="shared" ca="1" si="1"/>
        <v>0.66666666666666663</v>
      </c>
      <c r="M9" s="11">
        <f t="shared" ca="1" si="2"/>
        <v>45</v>
      </c>
      <c r="N9" s="22">
        <f>IF(B9="","",IFERROR(_xlfn.AGGREGATE(14,6,Mișcări!$B$5:$B$2004/(Mișcări!$D$5:$D$2004=B9),1),""))</f>
        <v>46301</v>
      </c>
      <c r="O9" s="11" t="str">
        <f t="shared" ca="1" si="3"/>
        <v>Sub stoc minim</v>
      </c>
      <c r="P9" s="21">
        <f t="shared" ca="1" si="4"/>
        <v>170</v>
      </c>
    </row>
    <row r="10" spans="2:16" x14ac:dyDescent="0.2">
      <c r="B10" s="11" t="str">
        <f>IF(Produse!B10="","",Produse!B10)</f>
        <v>P06</v>
      </c>
      <c r="C10" s="10" t="str">
        <f>IF(B10="","",Produse!C10)</f>
        <v>Tablou electric 12 module</v>
      </c>
      <c r="D10" s="10" t="str">
        <f>IF(B10="","",Produse!D10)</f>
        <v>Tablouri și protecții</v>
      </c>
      <c r="E10" s="11" t="str">
        <f>IF(B10="","",Produse!E10)</f>
        <v>buc</v>
      </c>
      <c r="F10" s="17">
        <f ca="1">IF(B10="","",SUMIFS(Mișcări!$K$5:$K$2004,Mișcări!$D$5:$D$2004,B10,Mișcări!$B$5:$B$2004,"&lt;="&amp;Azi))</f>
        <v>9</v>
      </c>
      <c r="G10" s="18">
        <f>IF(B10="","",IFERROR(SUMIFS(Mișcări!$L$5:$L$2004,Mișcări!$D$5:$D$2004,B10)/SUMIFS(Mișcări!$F$5:$F$2004,Mișcări!$D$5:$D$2004,B10,Mișcări!$J$5:$J$2004,1,Mișcări!$G$5:$G$2004,"&gt;0"),Produse!G10))</f>
        <v>96.666666666666671</v>
      </c>
      <c r="H10" s="18">
        <f t="shared" ca="1" si="0"/>
        <v>870</v>
      </c>
      <c r="I10" s="21">
        <f>IF(B10="","",Produse!I10)</f>
        <v>5</v>
      </c>
      <c r="J10" s="21">
        <f>IF(B10="","",Produse!J10)</f>
        <v>25</v>
      </c>
      <c r="K10" s="21">
        <f ca="1">IF(B10="","",-SUMIFS(Mișcări!$K$5:$K$2004,Mișcări!$D$5:$D$2004,B10,Mișcări!$J$5:$J$2004,-1,Mișcări!$B$5:$B$2004,"&gt;"&amp;(Azi-ZileConsum),Mișcări!$B$5:$B$2004,"&lt;="&amp;Azi))</f>
        <v>6</v>
      </c>
      <c r="L10" s="17">
        <f t="shared" ca="1" si="1"/>
        <v>0.2</v>
      </c>
      <c r="M10" s="11">
        <f t="shared" ca="1" si="2"/>
        <v>45</v>
      </c>
      <c r="N10" s="22">
        <f>IF(B10="","",IFERROR(_xlfn.AGGREGATE(14,6,Mișcări!$B$5:$B$2004/(Mișcări!$D$5:$D$2004=B10),1),""))</f>
        <v>46302</v>
      </c>
      <c r="O10" s="11" t="str">
        <f t="shared" ca="1" si="3"/>
        <v>OK</v>
      </c>
      <c r="P10" s="21">
        <f t="shared" ca="1" si="4"/>
        <v>0</v>
      </c>
    </row>
    <row r="11" spans="2:16" x14ac:dyDescent="0.2">
      <c r="B11" s="11" t="str">
        <f>IF(Produse!B11="","",Produse!B11)</f>
        <v>P07</v>
      </c>
      <c r="C11" s="10" t="str">
        <f>IF(B11="","",Produse!C11)</f>
        <v>Siguranță automată 16A</v>
      </c>
      <c r="D11" s="10" t="str">
        <f>IF(B11="","",Produse!D11)</f>
        <v>Tablouri și protecții</v>
      </c>
      <c r="E11" s="11" t="str">
        <f>IF(B11="","",Produse!E11)</f>
        <v>buc</v>
      </c>
      <c r="F11" s="17">
        <f ca="1">IF(B11="","",SUMIFS(Mișcări!$K$5:$K$2004,Mișcări!$D$5:$D$2004,B11,Mișcări!$B$5:$B$2004,"&lt;="&amp;Azi))</f>
        <v>140</v>
      </c>
      <c r="G11" s="18">
        <f>IF(B11="","",IFERROR(SUMIFS(Mișcări!$L$5:$L$2004,Mișcări!$D$5:$D$2004,B11)/SUMIFS(Mișcări!$F$5:$F$2004,Mișcări!$D$5:$D$2004,B11,Mișcări!$J$5:$J$2004,1,Mișcări!$G$5:$G$2004,"&gt;0"),Produse!G11))</f>
        <v>15.085714285714285</v>
      </c>
      <c r="H11" s="18">
        <f t="shared" ca="1" si="0"/>
        <v>2112</v>
      </c>
      <c r="I11" s="21">
        <f>IF(B11="","",Produse!I11)</f>
        <v>50</v>
      </c>
      <c r="J11" s="21">
        <f>IF(B11="","",Produse!J11)</f>
        <v>250</v>
      </c>
      <c r="K11" s="21">
        <f ca="1">IF(B11="","",-SUMIFS(Mișcări!$K$5:$K$2004,Mișcări!$D$5:$D$2004,B11,Mișcări!$J$5:$J$2004,-1,Mișcări!$B$5:$B$2004,"&gt;"&amp;(Azi-ZileConsum),Mișcări!$B$5:$B$2004,"&lt;="&amp;Azi))</f>
        <v>60</v>
      </c>
      <c r="L11" s="17">
        <f t="shared" ca="1" si="1"/>
        <v>2</v>
      </c>
      <c r="M11" s="11">
        <f t="shared" ca="1" si="2"/>
        <v>70</v>
      </c>
      <c r="N11" s="22">
        <f>IF(B11="","",IFERROR(_xlfn.AGGREGATE(14,6,Mișcări!$B$5:$B$2004/(Mișcări!$D$5:$D$2004=B11),1),""))</f>
        <v>46303</v>
      </c>
      <c r="O11" s="11" t="str">
        <f t="shared" ca="1" si="3"/>
        <v>OK</v>
      </c>
      <c r="P11" s="21">
        <f t="shared" ca="1" si="4"/>
        <v>0</v>
      </c>
    </row>
    <row r="12" spans="2:16" x14ac:dyDescent="0.2">
      <c r="B12" s="11" t="str">
        <f>IF(Produse!B12="","",Produse!B12)</f>
        <v>P08</v>
      </c>
      <c r="C12" s="10" t="str">
        <f>IF(B12="","",Produse!C12)</f>
        <v>Corp iluminat LED 36W</v>
      </c>
      <c r="D12" s="10" t="str">
        <f>IF(B12="","",Produse!D12)</f>
        <v>Iluminat</v>
      </c>
      <c r="E12" s="11" t="str">
        <f>IF(B12="","",Produse!E12)</f>
        <v>buc</v>
      </c>
      <c r="F12" s="17">
        <f ca="1">IF(B12="","",SUMIFS(Mișcări!$K$5:$K$2004,Mișcări!$D$5:$D$2004,B12,Mișcări!$B$5:$B$2004,"&lt;="&amp;Azi))</f>
        <v>16</v>
      </c>
      <c r="G12" s="18">
        <f>IF(B12="","",IFERROR(SUMIFS(Mișcări!$L$5:$L$2004,Mișcări!$D$5:$D$2004,B12)/SUMIFS(Mișcări!$F$5:$F$2004,Mișcări!$D$5:$D$2004,B12,Mișcări!$J$5:$J$2004,1,Mișcări!$G$5:$G$2004,"&gt;0"),Produse!G12))</f>
        <v>61.4</v>
      </c>
      <c r="H12" s="18">
        <f t="shared" ca="1" si="0"/>
        <v>982.4</v>
      </c>
      <c r="I12" s="21">
        <f>IF(B12="","",Produse!I12)</f>
        <v>20</v>
      </c>
      <c r="J12" s="21">
        <f>IF(B12="","",Produse!J12)</f>
        <v>100</v>
      </c>
      <c r="K12" s="21">
        <f ca="1">IF(B12="","",-SUMIFS(Mișcări!$K$5:$K$2004,Mișcări!$D$5:$D$2004,B12,Mișcări!$J$5:$J$2004,-1,Mișcări!$B$5:$B$2004,"&gt;"&amp;(Azi-ZileConsum),Mișcări!$B$5:$B$2004,"&lt;="&amp;Azi))</f>
        <v>24</v>
      </c>
      <c r="L12" s="17">
        <f t="shared" ca="1" si="1"/>
        <v>0.8</v>
      </c>
      <c r="M12" s="11">
        <f t="shared" ca="1" si="2"/>
        <v>20</v>
      </c>
      <c r="N12" s="22">
        <f>IF(B12="","",IFERROR(_xlfn.AGGREGATE(14,6,Mișcări!$B$5:$B$2004/(Mișcări!$D$5:$D$2004=B12),1),""))</f>
        <v>46300</v>
      </c>
      <c r="O12" s="11" t="str">
        <f t="shared" ca="1" si="3"/>
        <v>Sub stoc minim</v>
      </c>
      <c r="P12" s="21">
        <f t="shared" ca="1" si="4"/>
        <v>84</v>
      </c>
    </row>
    <row r="13" spans="2:16" x14ac:dyDescent="0.2">
      <c r="B13" s="11" t="str">
        <f>IF(Produse!B13="","",Produse!B13)</f>
        <v>P09</v>
      </c>
      <c r="C13" s="10" t="str">
        <f>IF(B13="","",Produse!C13)</f>
        <v>Bec LED E27 9W</v>
      </c>
      <c r="D13" s="10" t="str">
        <f>IF(B13="","",Produse!D13)</f>
        <v>Iluminat</v>
      </c>
      <c r="E13" s="11" t="str">
        <f>IF(B13="","",Produse!E13)</f>
        <v>buc</v>
      </c>
      <c r="F13" s="17">
        <f ca="1">IF(B13="","",SUMIFS(Mișcări!$K$5:$K$2004,Mișcări!$D$5:$D$2004,B13,Mișcări!$B$5:$B$2004,"&lt;="&amp;Azi))</f>
        <v>560</v>
      </c>
      <c r="G13" s="18">
        <f>IF(B13="","",IFERROR(SUMIFS(Mișcări!$L$5:$L$2004,Mișcări!$D$5:$D$2004,B13)/SUMIFS(Mișcări!$F$5:$F$2004,Mișcări!$D$5:$D$2004,B13,Mișcări!$J$5:$J$2004,1,Mișcări!$G$5:$G$2004,"&gt;0"),Produse!G13))</f>
        <v>6.4571428571428573</v>
      </c>
      <c r="H13" s="18">
        <f t="shared" ca="1" si="0"/>
        <v>3616</v>
      </c>
      <c r="I13" s="21">
        <f>IF(B13="","",Produse!I13)</f>
        <v>100</v>
      </c>
      <c r="J13" s="21">
        <f>IF(B13="","",Produse!J13)</f>
        <v>400</v>
      </c>
      <c r="K13" s="21">
        <f ca="1">IF(B13="","",-SUMIFS(Mișcări!$K$5:$K$2004,Mișcări!$D$5:$D$2004,B13,Mișcări!$J$5:$J$2004,-1,Mișcări!$B$5:$B$2004,"&gt;"&amp;(Azi-ZileConsum),Mișcări!$B$5:$B$2004,"&lt;="&amp;Azi))</f>
        <v>40</v>
      </c>
      <c r="L13" s="17">
        <f t="shared" ca="1" si="1"/>
        <v>1.3333333333333333</v>
      </c>
      <c r="M13" s="11">
        <f t="shared" ca="1" si="2"/>
        <v>420</v>
      </c>
      <c r="N13" s="22">
        <f>IF(B13="","",IFERROR(_xlfn.AGGREGATE(14,6,Mișcări!$B$5:$B$2004/(Mișcări!$D$5:$D$2004=B13),1),""))</f>
        <v>46301</v>
      </c>
      <c r="O13" s="11" t="str">
        <f t="shared" ca="1" si="3"/>
        <v>Exces de stoc</v>
      </c>
      <c r="P13" s="21">
        <f t="shared" ca="1" si="4"/>
        <v>0</v>
      </c>
    </row>
    <row r="14" spans="2:16" x14ac:dyDescent="0.2">
      <c r="B14" s="11" t="str">
        <f>IF(Produse!B14="","",Produse!B14)</f>
        <v>P10</v>
      </c>
      <c r="C14" s="10" t="str">
        <f>IF(B14="","",Produse!C14)</f>
        <v>Prelungitor 5 prize cu întrerupător</v>
      </c>
      <c r="D14" s="10" t="str">
        <f>IF(B14="","",Produse!D14)</f>
        <v>Accesorii</v>
      </c>
      <c r="E14" s="11" t="str">
        <f>IF(B14="","",Produse!E14)</f>
        <v>buc</v>
      </c>
      <c r="F14" s="17">
        <f ca="1">IF(B14="","",SUMIFS(Mișcări!$K$5:$K$2004,Mișcări!$D$5:$D$2004,B14,Mișcări!$B$5:$B$2004,"&lt;="&amp;Azi))</f>
        <v>25</v>
      </c>
      <c r="G14" s="18">
        <f>IF(B14="","",IFERROR(SUMIFS(Mișcări!$L$5:$L$2004,Mișcări!$D$5:$D$2004,B14)/SUMIFS(Mișcări!$F$5:$F$2004,Mișcări!$D$5:$D$2004,B14,Mișcări!$J$5:$J$2004,1,Mișcări!$G$5:$G$2004,"&gt;0"),Produse!G14))</f>
        <v>28</v>
      </c>
      <c r="H14" s="18">
        <f t="shared" ca="1" si="0"/>
        <v>700</v>
      </c>
      <c r="I14" s="21">
        <f>IF(B14="","",Produse!I14)</f>
        <v>10</v>
      </c>
      <c r="J14" s="21">
        <f>IF(B14="","",Produse!J14)</f>
        <v>40</v>
      </c>
      <c r="K14" s="21">
        <f ca="1">IF(B14="","",-SUMIFS(Mișcări!$K$5:$K$2004,Mișcări!$D$5:$D$2004,B14,Mișcări!$J$5:$J$2004,-1,Mișcări!$B$5:$B$2004,"&gt;"&amp;(Azi-ZileConsum),Mișcări!$B$5:$B$2004,"&lt;="&amp;Azi))</f>
        <v>0</v>
      </c>
      <c r="L14" s="17">
        <f t="shared" ca="1" si="1"/>
        <v>0</v>
      </c>
      <c r="M14" s="11" t="str">
        <f t="shared" ca="1" si="2"/>
        <v>–</v>
      </c>
      <c r="N14" s="22">
        <f>IF(B14="","",IFERROR(_xlfn.AGGREGATE(14,6,Mișcări!$B$5:$B$2004/(Mișcări!$D$5:$D$2004=B14),1),""))</f>
        <v>46204</v>
      </c>
      <c r="O14" s="11" t="str">
        <f t="shared" ca="1" si="3"/>
        <v>Fără mișcare</v>
      </c>
      <c r="P14" s="21">
        <f t="shared" ca="1" si="4"/>
        <v>0</v>
      </c>
    </row>
    <row r="15" spans="2:16" x14ac:dyDescent="0.2">
      <c r="B15" s="11" t="str">
        <f>IF(Produse!B15="","",Produse!B15)</f>
        <v>P11</v>
      </c>
      <c r="C15" s="10" t="str">
        <f>IF(B15="","",Produse!C15)</f>
        <v>Bandă izolatoare 19 mm</v>
      </c>
      <c r="D15" s="10" t="str">
        <f>IF(B15="","",Produse!D15)</f>
        <v>Accesorii</v>
      </c>
      <c r="E15" s="11" t="str">
        <f>IF(B15="","",Produse!E15)</f>
        <v>buc</v>
      </c>
      <c r="F15" s="17">
        <f ca="1">IF(B15="","",SUMIFS(Mișcări!$K$5:$K$2004,Mișcări!$D$5:$D$2004,B15,Mișcări!$B$5:$B$2004,"&lt;="&amp;Azi))</f>
        <v>66</v>
      </c>
      <c r="G15" s="18">
        <f>IF(B15="","",IFERROR(SUMIFS(Mișcări!$L$5:$L$2004,Mișcări!$D$5:$D$2004,B15)/SUMIFS(Mișcări!$F$5:$F$2004,Mișcări!$D$5:$D$2004,B15,Mișcări!$J$5:$J$2004,1,Mișcări!$G$5:$G$2004,"&gt;0"),Produse!G15))</f>
        <v>2.1</v>
      </c>
      <c r="H15" s="18">
        <f t="shared" ca="1" si="0"/>
        <v>138.6</v>
      </c>
      <c r="I15" s="21">
        <f>IF(B15="","",Produse!I15)</f>
        <v>50</v>
      </c>
      <c r="J15" s="21">
        <f>IF(B15="","",Produse!J15)</f>
        <v>200</v>
      </c>
      <c r="K15" s="21">
        <f ca="1">IF(B15="","",-SUMIFS(Mișcări!$K$5:$K$2004,Mișcări!$D$5:$D$2004,B15,Mișcări!$J$5:$J$2004,-1,Mișcări!$B$5:$B$2004,"&gt;"&amp;(Azi-ZileConsum),Mișcări!$B$5:$B$2004,"&lt;="&amp;Azi))</f>
        <v>24</v>
      </c>
      <c r="L15" s="17">
        <f t="shared" ca="1" si="1"/>
        <v>0.8</v>
      </c>
      <c r="M15" s="11">
        <f t="shared" ca="1" si="2"/>
        <v>83</v>
      </c>
      <c r="N15" s="22">
        <f>IF(B15="","",IFERROR(_xlfn.AGGREGATE(14,6,Mișcări!$B$5:$B$2004/(Mișcări!$D$5:$D$2004=B15),1),""))</f>
        <v>46303</v>
      </c>
      <c r="O15" s="11" t="str">
        <f t="shared" ca="1" si="3"/>
        <v>OK</v>
      </c>
      <c r="P15" s="21">
        <f t="shared" ca="1" si="4"/>
        <v>0</v>
      </c>
    </row>
    <row r="16" spans="2:16" x14ac:dyDescent="0.2">
      <c r="B16" s="11" t="str">
        <f>IF(Produse!B16="","",Produse!B16)</f>
        <v>P12</v>
      </c>
      <c r="C16" s="10" t="str">
        <f>IF(B16="","",Produse!C16)</f>
        <v>Cablu MYF 1,5 mm</v>
      </c>
      <c r="D16" s="10" t="str">
        <f>IF(B16="","",Produse!D16)</f>
        <v>Cabluri</v>
      </c>
      <c r="E16" s="11" t="str">
        <f>IF(B16="","",Produse!E16)</f>
        <v>m</v>
      </c>
      <c r="F16" s="17">
        <f ca="1">IF(B16="","",SUMIFS(Mișcări!$K$5:$K$2004,Mișcări!$D$5:$D$2004,B16,Mișcări!$B$5:$B$2004,"&lt;="&amp;Azi))</f>
        <v>0</v>
      </c>
      <c r="G16" s="18">
        <f>IF(B16="","",IFERROR(SUMIFS(Mișcări!$L$5:$L$2004,Mișcări!$D$5:$D$2004,B16)/SUMIFS(Mișcări!$F$5:$F$2004,Mișcări!$D$5:$D$2004,B16,Mișcări!$J$5:$J$2004,1,Mișcări!$G$5:$G$2004,"&gt;0"),Produse!G16))</f>
        <v>1.0714285714285714</v>
      </c>
      <c r="H16" s="18">
        <f t="shared" ca="1" si="0"/>
        <v>0</v>
      </c>
      <c r="I16" s="21">
        <f>IF(B16="","",Produse!I16)</f>
        <v>300</v>
      </c>
      <c r="J16" s="21">
        <f>IF(B16="","",Produse!J16)</f>
        <v>1500</v>
      </c>
      <c r="K16" s="21">
        <f ca="1">IF(B16="","",-SUMIFS(Mișcări!$K$5:$K$2004,Mișcări!$D$5:$D$2004,B16,Mișcări!$J$5:$J$2004,-1,Mișcări!$B$5:$B$2004,"&gt;"&amp;(Azi-ZileConsum),Mișcări!$B$5:$B$2004,"&lt;="&amp;Azi))</f>
        <v>200</v>
      </c>
      <c r="L16" s="17">
        <f t="shared" ca="1" si="1"/>
        <v>6.666666666666667</v>
      </c>
      <c r="M16" s="11">
        <f t="shared" ca="1" si="2"/>
        <v>0</v>
      </c>
      <c r="N16" s="22">
        <f>IF(B16="","",IFERROR(_xlfn.AGGREGATE(14,6,Mișcări!$B$5:$B$2004/(Mișcări!$D$5:$D$2004=B16),1),""))</f>
        <v>46300</v>
      </c>
      <c r="O16" s="11" t="str">
        <f t="shared" ca="1" si="3"/>
        <v>Ruptură de stoc</v>
      </c>
      <c r="P16" s="21">
        <f t="shared" ca="1" si="4"/>
        <v>1500</v>
      </c>
    </row>
    <row r="17" spans="2:16" x14ac:dyDescent="0.2">
      <c r="B17" s="11" t="str">
        <f>IF(Produse!B17="","",Produse!B17)</f>
        <v/>
      </c>
      <c r="C17" s="10" t="str">
        <f>IF(B17="","",Produse!C17)</f>
        <v/>
      </c>
      <c r="D17" s="10" t="str">
        <f>IF(B17="","",Produse!D17)</f>
        <v/>
      </c>
      <c r="E17" s="11" t="str">
        <f>IF(B17="","",Produse!E17)</f>
        <v/>
      </c>
      <c r="F17" s="17" t="str">
        <f>IF(B17="","",SUMIFS(Mișcări!$K$5:$K$2004,Mișcări!$D$5:$D$2004,B17,Mișcări!$B$5:$B$2004,"&lt;="&amp;Azi))</f>
        <v/>
      </c>
      <c r="G17" s="18" t="str">
        <f>IF(B17="","",IFERROR(SUMIFS(Mișcări!$L$5:$L$2004,Mișcări!$D$5:$D$2004,B17)/SUMIFS(Mișcări!$F$5:$F$2004,Mișcări!$D$5:$D$2004,B17,Mișcări!$J$5:$J$2004,1,Mișcări!$G$5:$G$2004,"&gt;0"),Produse!G17))</f>
        <v/>
      </c>
      <c r="H17" s="18" t="str">
        <f t="shared" si="0"/>
        <v/>
      </c>
      <c r="I17" s="21" t="str">
        <f>IF(B17="","",Produse!I17)</f>
        <v/>
      </c>
      <c r="J17" s="21" t="str">
        <f>IF(B17="","",Produse!J17)</f>
        <v/>
      </c>
      <c r="K17" s="21" t="str">
        <f>IF(B17="","",-SUMIFS(Mișcări!$K$5:$K$2004,Mișcări!$D$5:$D$2004,B17,Mișcări!$J$5:$J$2004,-1,Mișcări!$B$5:$B$2004,"&gt;"&amp;(Azi-ZileConsum),Mișcări!$B$5:$B$2004,"&lt;="&amp;Azi))</f>
        <v/>
      </c>
      <c r="L17" s="17" t="str">
        <f t="shared" si="1"/>
        <v/>
      </c>
      <c r="M17" s="11" t="str">
        <f t="shared" si="2"/>
        <v/>
      </c>
      <c r="N17" s="22" t="str">
        <f>IF(B17="","",IFERROR(_xlfn.AGGREGATE(14,6,Mișcări!$B$5:$B$2004/(Mișcări!$D$5:$D$2004=B17),1),""))</f>
        <v/>
      </c>
      <c r="O17" s="11" t="str">
        <f t="shared" si="3"/>
        <v/>
      </c>
      <c r="P17" s="21" t="str">
        <f t="shared" si="4"/>
        <v/>
      </c>
    </row>
    <row r="18" spans="2:16" x14ac:dyDescent="0.2">
      <c r="B18" s="11" t="str">
        <f>IF(Produse!B18="","",Produse!B18)</f>
        <v/>
      </c>
      <c r="C18" s="10" t="str">
        <f>IF(B18="","",Produse!C18)</f>
        <v/>
      </c>
      <c r="D18" s="10" t="str">
        <f>IF(B18="","",Produse!D18)</f>
        <v/>
      </c>
      <c r="E18" s="11" t="str">
        <f>IF(B18="","",Produse!E18)</f>
        <v/>
      </c>
      <c r="F18" s="17" t="str">
        <f>IF(B18="","",SUMIFS(Mișcări!$K$5:$K$2004,Mișcări!$D$5:$D$2004,B18,Mișcări!$B$5:$B$2004,"&lt;="&amp;Azi))</f>
        <v/>
      </c>
      <c r="G18" s="18" t="str">
        <f>IF(B18="","",IFERROR(SUMIFS(Mișcări!$L$5:$L$2004,Mișcări!$D$5:$D$2004,B18)/SUMIFS(Mișcări!$F$5:$F$2004,Mișcări!$D$5:$D$2004,B18,Mișcări!$J$5:$J$2004,1,Mișcări!$G$5:$G$2004,"&gt;0"),Produse!G18))</f>
        <v/>
      </c>
      <c r="H18" s="18" t="str">
        <f t="shared" si="0"/>
        <v/>
      </c>
      <c r="I18" s="21" t="str">
        <f>IF(B18="","",Produse!I18)</f>
        <v/>
      </c>
      <c r="J18" s="21" t="str">
        <f>IF(B18="","",Produse!J18)</f>
        <v/>
      </c>
      <c r="K18" s="21" t="str">
        <f>IF(B18="","",-SUMIFS(Mișcări!$K$5:$K$2004,Mișcări!$D$5:$D$2004,B18,Mișcări!$J$5:$J$2004,-1,Mișcări!$B$5:$B$2004,"&gt;"&amp;(Azi-ZileConsum),Mișcări!$B$5:$B$2004,"&lt;="&amp;Azi))</f>
        <v/>
      </c>
      <c r="L18" s="17" t="str">
        <f t="shared" si="1"/>
        <v/>
      </c>
      <c r="M18" s="11" t="str">
        <f t="shared" si="2"/>
        <v/>
      </c>
      <c r="N18" s="22" t="str">
        <f>IF(B18="","",IFERROR(_xlfn.AGGREGATE(14,6,Mișcări!$B$5:$B$2004/(Mișcări!$D$5:$D$2004=B18),1),""))</f>
        <v/>
      </c>
      <c r="O18" s="11" t="str">
        <f t="shared" si="3"/>
        <v/>
      </c>
      <c r="P18" s="21" t="str">
        <f t="shared" si="4"/>
        <v/>
      </c>
    </row>
    <row r="19" spans="2:16" x14ac:dyDescent="0.2">
      <c r="B19" s="11" t="str">
        <f>IF(Produse!B19="","",Produse!B19)</f>
        <v/>
      </c>
      <c r="C19" s="10" t="str">
        <f>IF(B19="","",Produse!C19)</f>
        <v/>
      </c>
      <c r="D19" s="10" t="str">
        <f>IF(B19="","",Produse!D19)</f>
        <v/>
      </c>
      <c r="E19" s="11" t="str">
        <f>IF(B19="","",Produse!E19)</f>
        <v/>
      </c>
      <c r="F19" s="17" t="str">
        <f>IF(B19="","",SUMIFS(Mișcări!$K$5:$K$2004,Mișcări!$D$5:$D$2004,B19,Mișcări!$B$5:$B$2004,"&lt;="&amp;Azi))</f>
        <v/>
      </c>
      <c r="G19" s="18" t="str">
        <f>IF(B19="","",IFERROR(SUMIFS(Mișcări!$L$5:$L$2004,Mișcări!$D$5:$D$2004,B19)/SUMIFS(Mișcări!$F$5:$F$2004,Mișcări!$D$5:$D$2004,B19,Mișcări!$J$5:$J$2004,1,Mișcări!$G$5:$G$2004,"&gt;0"),Produse!G19))</f>
        <v/>
      </c>
      <c r="H19" s="18" t="str">
        <f t="shared" si="0"/>
        <v/>
      </c>
      <c r="I19" s="21" t="str">
        <f>IF(B19="","",Produse!I19)</f>
        <v/>
      </c>
      <c r="J19" s="21" t="str">
        <f>IF(B19="","",Produse!J19)</f>
        <v/>
      </c>
      <c r="K19" s="21" t="str">
        <f>IF(B19="","",-SUMIFS(Mișcări!$K$5:$K$2004,Mișcări!$D$5:$D$2004,B19,Mișcări!$J$5:$J$2004,-1,Mișcări!$B$5:$B$2004,"&gt;"&amp;(Azi-ZileConsum),Mișcări!$B$5:$B$2004,"&lt;="&amp;Azi))</f>
        <v/>
      </c>
      <c r="L19" s="17" t="str">
        <f t="shared" si="1"/>
        <v/>
      </c>
      <c r="M19" s="11" t="str">
        <f t="shared" si="2"/>
        <v/>
      </c>
      <c r="N19" s="22" t="str">
        <f>IF(B19="","",IFERROR(_xlfn.AGGREGATE(14,6,Mișcări!$B$5:$B$2004/(Mișcări!$D$5:$D$2004=B19),1),""))</f>
        <v/>
      </c>
      <c r="O19" s="11" t="str">
        <f t="shared" si="3"/>
        <v/>
      </c>
      <c r="P19" s="21" t="str">
        <f t="shared" si="4"/>
        <v/>
      </c>
    </row>
    <row r="20" spans="2:16" x14ac:dyDescent="0.2">
      <c r="B20" s="11" t="str">
        <f>IF(Produse!B20="","",Produse!B20)</f>
        <v/>
      </c>
      <c r="C20" s="10" t="str">
        <f>IF(B20="","",Produse!C20)</f>
        <v/>
      </c>
      <c r="D20" s="10" t="str">
        <f>IF(B20="","",Produse!D20)</f>
        <v/>
      </c>
      <c r="E20" s="11" t="str">
        <f>IF(B20="","",Produse!E20)</f>
        <v/>
      </c>
      <c r="F20" s="17" t="str">
        <f>IF(B20="","",SUMIFS(Mișcări!$K$5:$K$2004,Mișcări!$D$5:$D$2004,B20,Mișcări!$B$5:$B$2004,"&lt;="&amp;Azi))</f>
        <v/>
      </c>
      <c r="G20" s="18" t="str">
        <f>IF(B20="","",IFERROR(SUMIFS(Mișcări!$L$5:$L$2004,Mișcări!$D$5:$D$2004,B20)/SUMIFS(Mișcări!$F$5:$F$2004,Mișcări!$D$5:$D$2004,B20,Mișcări!$J$5:$J$2004,1,Mișcări!$G$5:$G$2004,"&gt;0"),Produse!G20))</f>
        <v/>
      </c>
      <c r="H20" s="18" t="str">
        <f t="shared" si="0"/>
        <v/>
      </c>
      <c r="I20" s="21" t="str">
        <f>IF(B20="","",Produse!I20)</f>
        <v/>
      </c>
      <c r="J20" s="21" t="str">
        <f>IF(B20="","",Produse!J20)</f>
        <v/>
      </c>
      <c r="K20" s="21" t="str">
        <f>IF(B20="","",-SUMIFS(Mișcări!$K$5:$K$2004,Mișcări!$D$5:$D$2004,B20,Mișcări!$J$5:$J$2004,-1,Mișcări!$B$5:$B$2004,"&gt;"&amp;(Azi-ZileConsum),Mișcări!$B$5:$B$2004,"&lt;="&amp;Azi))</f>
        <v/>
      </c>
      <c r="L20" s="17" t="str">
        <f t="shared" si="1"/>
        <v/>
      </c>
      <c r="M20" s="11" t="str">
        <f t="shared" si="2"/>
        <v/>
      </c>
      <c r="N20" s="22" t="str">
        <f>IF(B20="","",IFERROR(_xlfn.AGGREGATE(14,6,Mișcări!$B$5:$B$2004/(Mișcări!$D$5:$D$2004=B20),1),""))</f>
        <v/>
      </c>
      <c r="O20" s="11" t="str">
        <f t="shared" si="3"/>
        <v/>
      </c>
      <c r="P20" s="21" t="str">
        <f t="shared" si="4"/>
        <v/>
      </c>
    </row>
    <row r="21" spans="2:16" x14ac:dyDescent="0.2">
      <c r="B21" s="11" t="str">
        <f>IF(Produse!B21="","",Produse!B21)</f>
        <v/>
      </c>
      <c r="C21" s="10" t="str">
        <f>IF(B21="","",Produse!C21)</f>
        <v/>
      </c>
      <c r="D21" s="10" t="str">
        <f>IF(B21="","",Produse!D21)</f>
        <v/>
      </c>
      <c r="E21" s="11" t="str">
        <f>IF(B21="","",Produse!E21)</f>
        <v/>
      </c>
      <c r="F21" s="17" t="str">
        <f>IF(B21="","",SUMIFS(Mișcări!$K$5:$K$2004,Mișcări!$D$5:$D$2004,B21,Mișcări!$B$5:$B$2004,"&lt;="&amp;Azi))</f>
        <v/>
      </c>
      <c r="G21" s="18" t="str">
        <f>IF(B21="","",IFERROR(SUMIFS(Mișcări!$L$5:$L$2004,Mișcări!$D$5:$D$2004,B21)/SUMIFS(Mișcări!$F$5:$F$2004,Mișcări!$D$5:$D$2004,B21,Mișcări!$J$5:$J$2004,1,Mișcări!$G$5:$G$2004,"&gt;0"),Produse!G21))</f>
        <v/>
      </c>
      <c r="H21" s="18" t="str">
        <f t="shared" si="0"/>
        <v/>
      </c>
      <c r="I21" s="21" t="str">
        <f>IF(B21="","",Produse!I21)</f>
        <v/>
      </c>
      <c r="J21" s="21" t="str">
        <f>IF(B21="","",Produse!J21)</f>
        <v/>
      </c>
      <c r="K21" s="21" t="str">
        <f>IF(B21="","",-SUMIFS(Mișcări!$K$5:$K$2004,Mișcări!$D$5:$D$2004,B21,Mișcări!$J$5:$J$2004,-1,Mișcări!$B$5:$B$2004,"&gt;"&amp;(Azi-ZileConsum),Mișcări!$B$5:$B$2004,"&lt;="&amp;Azi))</f>
        <v/>
      </c>
      <c r="L21" s="17" t="str">
        <f t="shared" si="1"/>
        <v/>
      </c>
      <c r="M21" s="11" t="str">
        <f t="shared" si="2"/>
        <v/>
      </c>
      <c r="N21" s="22" t="str">
        <f>IF(B21="","",IFERROR(_xlfn.AGGREGATE(14,6,Mișcări!$B$5:$B$2004/(Mișcări!$D$5:$D$2004=B21),1),""))</f>
        <v/>
      </c>
      <c r="O21" s="11" t="str">
        <f t="shared" si="3"/>
        <v/>
      </c>
      <c r="P21" s="21" t="str">
        <f t="shared" si="4"/>
        <v/>
      </c>
    </row>
    <row r="22" spans="2:16" x14ac:dyDescent="0.2">
      <c r="B22" s="11" t="str">
        <f>IF(Produse!B22="","",Produse!B22)</f>
        <v/>
      </c>
      <c r="C22" s="10" t="str">
        <f>IF(B22="","",Produse!C22)</f>
        <v/>
      </c>
      <c r="D22" s="10" t="str">
        <f>IF(B22="","",Produse!D22)</f>
        <v/>
      </c>
      <c r="E22" s="11" t="str">
        <f>IF(B22="","",Produse!E22)</f>
        <v/>
      </c>
      <c r="F22" s="17" t="str">
        <f>IF(B22="","",SUMIFS(Mișcări!$K$5:$K$2004,Mișcări!$D$5:$D$2004,B22,Mișcări!$B$5:$B$2004,"&lt;="&amp;Azi))</f>
        <v/>
      </c>
      <c r="G22" s="18" t="str">
        <f>IF(B22="","",IFERROR(SUMIFS(Mișcări!$L$5:$L$2004,Mișcări!$D$5:$D$2004,B22)/SUMIFS(Mișcări!$F$5:$F$2004,Mișcări!$D$5:$D$2004,B22,Mișcări!$J$5:$J$2004,1,Mișcări!$G$5:$G$2004,"&gt;0"),Produse!G22))</f>
        <v/>
      </c>
      <c r="H22" s="18" t="str">
        <f t="shared" si="0"/>
        <v/>
      </c>
      <c r="I22" s="21" t="str">
        <f>IF(B22="","",Produse!I22)</f>
        <v/>
      </c>
      <c r="J22" s="21" t="str">
        <f>IF(B22="","",Produse!J22)</f>
        <v/>
      </c>
      <c r="K22" s="21" t="str">
        <f>IF(B22="","",-SUMIFS(Mișcări!$K$5:$K$2004,Mișcări!$D$5:$D$2004,B22,Mișcări!$J$5:$J$2004,-1,Mișcări!$B$5:$B$2004,"&gt;"&amp;(Azi-ZileConsum),Mișcări!$B$5:$B$2004,"&lt;="&amp;Azi))</f>
        <v/>
      </c>
      <c r="L22" s="17" t="str">
        <f t="shared" si="1"/>
        <v/>
      </c>
      <c r="M22" s="11" t="str">
        <f t="shared" si="2"/>
        <v/>
      </c>
      <c r="N22" s="22" t="str">
        <f>IF(B22="","",IFERROR(_xlfn.AGGREGATE(14,6,Mișcări!$B$5:$B$2004/(Mișcări!$D$5:$D$2004=B22),1),""))</f>
        <v/>
      </c>
      <c r="O22" s="11" t="str">
        <f t="shared" si="3"/>
        <v/>
      </c>
      <c r="P22" s="21" t="str">
        <f t="shared" si="4"/>
        <v/>
      </c>
    </row>
    <row r="23" spans="2:16" x14ac:dyDescent="0.2">
      <c r="B23" s="11" t="str">
        <f>IF(Produse!B23="","",Produse!B23)</f>
        <v/>
      </c>
      <c r="C23" s="10" t="str">
        <f>IF(B23="","",Produse!C23)</f>
        <v/>
      </c>
      <c r="D23" s="10" t="str">
        <f>IF(B23="","",Produse!D23)</f>
        <v/>
      </c>
      <c r="E23" s="11" t="str">
        <f>IF(B23="","",Produse!E23)</f>
        <v/>
      </c>
      <c r="F23" s="17" t="str">
        <f>IF(B23="","",SUMIFS(Mișcări!$K$5:$K$2004,Mișcări!$D$5:$D$2004,B23,Mișcări!$B$5:$B$2004,"&lt;="&amp;Azi))</f>
        <v/>
      </c>
      <c r="G23" s="18" t="str">
        <f>IF(B23="","",IFERROR(SUMIFS(Mișcări!$L$5:$L$2004,Mișcări!$D$5:$D$2004,B23)/SUMIFS(Mișcări!$F$5:$F$2004,Mișcări!$D$5:$D$2004,B23,Mișcări!$J$5:$J$2004,1,Mișcări!$G$5:$G$2004,"&gt;0"),Produse!G23))</f>
        <v/>
      </c>
      <c r="H23" s="18" t="str">
        <f t="shared" si="0"/>
        <v/>
      </c>
      <c r="I23" s="21" t="str">
        <f>IF(B23="","",Produse!I23)</f>
        <v/>
      </c>
      <c r="J23" s="21" t="str">
        <f>IF(B23="","",Produse!J23)</f>
        <v/>
      </c>
      <c r="K23" s="21" t="str">
        <f>IF(B23="","",-SUMIFS(Mișcări!$K$5:$K$2004,Mișcări!$D$5:$D$2004,B23,Mișcări!$J$5:$J$2004,-1,Mișcări!$B$5:$B$2004,"&gt;"&amp;(Azi-ZileConsum),Mișcări!$B$5:$B$2004,"&lt;="&amp;Azi))</f>
        <v/>
      </c>
      <c r="L23" s="17" t="str">
        <f t="shared" si="1"/>
        <v/>
      </c>
      <c r="M23" s="11" t="str">
        <f t="shared" si="2"/>
        <v/>
      </c>
      <c r="N23" s="22" t="str">
        <f>IF(B23="","",IFERROR(_xlfn.AGGREGATE(14,6,Mișcări!$B$5:$B$2004/(Mișcări!$D$5:$D$2004=B23),1),""))</f>
        <v/>
      </c>
      <c r="O23" s="11" t="str">
        <f t="shared" si="3"/>
        <v/>
      </c>
      <c r="P23" s="21" t="str">
        <f t="shared" si="4"/>
        <v/>
      </c>
    </row>
    <row r="24" spans="2:16" x14ac:dyDescent="0.2">
      <c r="B24" s="11" t="str">
        <f>IF(Produse!B24="","",Produse!B24)</f>
        <v/>
      </c>
      <c r="C24" s="10" t="str">
        <f>IF(B24="","",Produse!C24)</f>
        <v/>
      </c>
      <c r="D24" s="10" t="str">
        <f>IF(B24="","",Produse!D24)</f>
        <v/>
      </c>
      <c r="E24" s="11" t="str">
        <f>IF(B24="","",Produse!E24)</f>
        <v/>
      </c>
      <c r="F24" s="17" t="str">
        <f>IF(B24="","",SUMIFS(Mișcări!$K$5:$K$2004,Mișcări!$D$5:$D$2004,B24,Mișcări!$B$5:$B$2004,"&lt;="&amp;Azi))</f>
        <v/>
      </c>
      <c r="G24" s="18" t="str">
        <f>IF(B24="","",IFERROR(SUMIFS(Mișcări!$L$5:$L$2004,Mișcări!$D$5:$D$2004,B24)/SUMIFS(Mișcări!$F$5:$F$2004,Mișcări!$D$5:$D$2004,B24,Mișcări!$J$5:$J$2004,1,Mișcări!$G$5:$G$2004,"&gt;0"),Produse!G24))</f>
        <v/>
      </c>
      <c r="H24" s="18" t="str">
        <f t="shared" si="0"/>
        <v/>
      </c>
      <c r="I24" s="21" t="str">
        <f>IF(B24="","",Produse!I24)</f>
        <v/>
      </c>
      <c r="J24" s="21" t="str">
        <f>IF(B24="","",Produse!J24)</f>
        <v/>
      </c>
      <c r="K24" s="21" t="str">
        <f>IF(B24="","",-SUMIFS(Mișcări!$K$5:$K$2004,Mișcări!$D$5:$D$2004,B24,Mișcări!$J$5:$J$2004,-1,Mișcări!$B$5:$B$2004,"&gt;"&amp;(Azi-ZileConsum),Mișcări!$B$5:$B$2004,"&lt;="&amp;Azi))</f>
        <v/>
      </c>
      <c r="L24" s="17" t="str">
        <f t="shared" si="1"/>
        <v/>
      </c>
      <c r="M24" s="11" t="str">
        <f t="shared" si="2"/>
        <v/>
      </c>
      <c r="N24" s="22" t="str">
        <f>IF(B24="","",IFERROR(_xlfn.AGGREGATE(14,6,Mișcări!$B$5:$B$2004/(Mișcări!$D$5:$D$2004=B24),1),""))</f>
        <v/>
      </c>
      <c r="O24" s="11" t="str">
        <f t="shared" si="3"/>
        <v/>
      </c>
      <c r="P24" s="21" t="str">
        <f t="shared" si="4"/>
        <v/>
      </c>
    </row>
    <row r="25" spans="2:16" x14ac:dyDescent="0.2">
      <c r="B25" s="11" t="str">
        <f>IF(Produse!B25="","",Produse!B25)</f>
        <v/>
      </c>
      <c r="C25" s="10" t="str">
        <f>IF(B25="","",Produse!C25)</f>
        <v/>
      </c>
      <c r="D25" s="10" t="str">
        <f>IF(B25="","",Produse!D25)</f>
        <v/>
      </c>
      <c r="E25" s="11" t="str">
        <f>IF(B25="","",Produse!E25)</f>
        <v/>
      </c>
      <c r="F25" s="17" t="str">
        <f>IF(B25="","",SUMIFS(Mișcări!$K$5:$K$2004,Mișcări!$D$5:$D$2004,B25,Mișcări!$B$5:$B$2004,"&lt;="&amp;Azi))</f>
        <v/>
      </c>
      <c r="G25" s="18" t="str">
        <f>IF(B25="","",IFERROR(SUMIFS(Mișcări!$L$5:$L$2004,Mișcări!$D$5:$D$2004,B25)/SUMIFS(Mișcări!$F$5:$F$2004,Mișcări!$D$5:$D$2004,B25,Mișcări!$J$5:$J$2004,1,Mișcări!$G$5:$G$2004,"&gt;0"),Produse!G25))</f>
        <v/>
      </c>
      <c r="H25" s="18" t="str">
        <f t="shared" si="0"/>
        <v/>
      </c>
      <c r="I25" s="21" t="str">
        <f>IF(B25="","",Produse!I25)</f>
        <v/>
      </c>
      <c r="J25" s="21" t="str">
        <f>IF(B25="","",Produse!J25)</f>
        <v/>
      </c>
      <c r="K25" s="21" t="str">
        <f>IF(B25="","",-SUMIFS(Mișcări!$K$5:$K$2004,Mișcări!$D$5:$D$2004,B25,Mișcări!$J$5:$J$2004,-1,Mișcări!$B$5:$B$2004,"&gt;"&amp;(Azi-ZileConsum),Mișcări!$B$5:$B$2004,"&lt;="&amp;Azi))</f>
        <v/>
      </c>
      <c r="L25" s="17" t="str">
        <f t="shared" si="1"/>
        <v/>
      </c>
      <c r="M25" s="11" t="str">
        <f t="shared" si="2"/>
        <v/>
      </c>
      <c r="N25" s="22" t="str">
        <f>IF(B25="","",IFERROR(_xlfn.AGGREGATE(14,6,Mișcări!$B$5:$B$2004/(Mișcări!$D$5:$D$2004=B25),1),""))</f>
        <v/>
      </c>
      <c r="O25" s="11" t="str">
        <f t="shared" si="3"/>
        <v/>
      </c>
      <c r="P25" s="21" t="str">
        <f t="shared" si="4"/>
        <v/>
      </c>
    </row>
    <row r="26" spans="2:16" x14ac:dyDescent="0.2">
      <c r="B26" s="11" t="str">
        <f>IF(Produse!B26="","",Produse!B26)</f>
        <v/>
      </c>
      <c r="C26" s="10" t="str">
        <f>IF(B26="","",Produse!C26)</f>
        <v/>
      </c>
      <c r="D26" s="10" t="str">
        <f>IF(B26="","",Produse!D26)</f>
        <v/>
      </c>
      <c r="E26" s="11" t="str">
        <f>IF(B26="","",Produse!E26)</f>
        <v/>
      </c>
      <c r="F26" s="17" t="str">
        <f>IF(B26="","",SUMIFS(Mișcări!$K$5:$K$2004,Mișcări!$D$5:$D$2004,B26,Mișcări!$B$5:$B$2004,"&lt;="&amp;Azi))</f>
        <v/>
      </c>
      <c r="G26" s="18" t="str">
        <f>IF(B26="","",IFERROR(SUMIFS(Mișcări!$L$5:$L$2004,Mișcări!$D$5:$D$2004,B26)/SUMIFS(Mișcări!$F$5:$F$2004,Mișcări!$D$5:$D$2004,B26,Mișcări!$J$5:$J$2004,1,Mișcări!$G$5:$G$2004,"&gt;0"),Produse!G26))</f>
        <v/>
      </c>
      <c r="H26" s="18" t="str">
        <f t="shared" si="0"/>
        <v/>
      </c>
      <c r="I26" s="21" t="str">
        <f>IF(B26="","",Produse!I26)</f>
        <v/>
      </c>
      <c r="J26" s="21" t="str">
        <f>IF(B26="","",Produse!J26)</f>
        <v/>
      </c>
      <c r="K26" s="21" t="str">
        <f>IF(B26="","",-SUMIFS(Mișcări!$K$5:$K$2004,Mișcări!$D$5:$D$2004,B26,Mișcări!$J$5:$J$2004,-1,Mișcări!$B$5:$B$2004,"&gt;"&amp;(Azi-ZileConsum),Mișcări!$B$5:$B$2004,"&lt;="&amp;Azi))</f>
        <v/>
      </c>
      <c r="L26" s="17" t="str">
        <f t="shared" si="1"/>
        <v/>
      </c>
      <c r="M26" s="11" t="str">
        <f t="shared" si="2"/>
        <v/>
      </c>
      <c r="N26" s="22" t="str">
        <f>IF(B26="","",IFERROR(_xlfn.AGGREGATE(14,6,Mișcări!$B$5:$B$2004/(Mișcări!$D$5:$D$2004=B26),1),""))</f>
        <v/>
      </c>
      <c r="O26" s="11" t="str">
        <f t="shared" si="3"/>
        <v/>
      </c>
      <c r="P26" s="21" t="str">
        <f t="shared" si="4"/>
        <v/>
      </c>
    </row>
    <row r="27" spans="2:16" x14ac:dyDescent="0.2">
      <c r="B27" s="11" t="str">
        <f>IF(Produse!B27="","",Produse!B27)</f>
        <v/>
      </c>
      <c r="C27" s="10" t="str">
        <f>IF(B27="","",Produse!C27)</f>
        <v/>
      </c>
      <c r="D27" s="10" t="str">
        <f>IF(B27="","",Produse!D27)</f>
        <v/>
      </c>
      <c r="E27" s="11" t="str">
        <f>IF(B27="","",Produse!E27)</f>
        <v/>
      </c>
      <c r="F27" s="17" t="str">
        <f>IF(B27="","",SUMIFS(Mișcări!$K$5:$K$2004,Mișcări!$D$5:$D$2004,B27,Mișcări!$B$5:$B$2004,"&lt;="&amp;Azi))</f>
        <v/>
      </c>
      <c r="G27" s="18" t="str">
        <f>IF(B27="","",IFERROR(SUMIFS(Mișcări!$L$5:$L$2004,Mișcări!$D$5:$D$2004,B27)/SUMIFS(Mișcări!$F$5:$F$2004,Mișcări!$D$5:$D$2004,B27,Mișcări!$J$5:$J$2004,1,Mișcări!$G$5:$G$2004,"&gt;0"),Produse!G27))</f>
        <v/>
      </c>
      <c r="H27" s="18" t="str">
        <f t="shared" si="0"/>
        <v/>
      </c>
      <c r="I27" s="21" t="str">
        <f>IF(B27="","",Produse!I27)</f>
        <v/>
      </c>
      <c r="J27" s="21" t="str">
        <f>IF(B27="","",Produse!J27)</f>
        <v/>
      </c>
      <c r="K27" s="21" t="str">
        <f>IF(B27="","",-SUMIFS(Mișcări!$K$5:$K$2004,Mișcări!$D$5:$D$2004,B27,Mișcări!$J$5:$J$2004,-1,Mișcări!$B$5:$B$2004,"&gt;"&amp;(Azi-ZileConsum),Mișcări!$B$5:$B$2004,"&lt;="&amp;Azi))</f>
        <v/>
      </c>
      <c r="L27" s="17" t="str">
        <f t="shared" si="1"/>
        <v/>
      </c>
      <c r="M27" s="11" t="str">
        <f t="shared" si="2"/>
        <v/>
      </c>
      <c r="N27" s="22" t="str">
        <f>IF(B27="","",IFERROR(_xlfn.AGGREGATE(14,6,Mișcări!$B$5:$B$2004/(Mișcări!$D$5:$D$2004=B27),1),""))</f>
        <v/>
      </c>
      <c r="O27" s="11" t="str">
        <f t="shared" si="3"/>
        <v/>
      </c>
      <c r="P27" s="21" t="str">
        <f t="shared" si="4"/>
        <v/>
      </c>
    </row>
    <row r="28" spans="2:16" x14ac:dyDescent="0.2">
      <c r="B28" s="11" t="str">
        <f>IF(Produse!B28="","",Produse!B28)</f>
        <v/>
      </c>
      <c r="C28" s="10" t="str">
        <f>IF(B28="","",Produse!C28)</f>
        <v/>
      </c>
      <c r="D28" s="10" t="str">
        <f>IF(B28="","",Produse!D28)</f>
        <v/>
      </c>
      <c r="E28" s="11" t="str">
        <f>IF(B28="","",Produse!E28)</f>
        <v/>
      </c>
      <c r="F28" s="17" t="str">
        <f>IF(B28="","",SUMIFS(Mișcări!$K$5:$K$2004,Mișcări!$D$5:$D$2004,B28,Mișcări!$B$5:$B$2004,"&lt;="&amp;Azi))</f>
        <v/>
      </c>
      <c r="G28" s="18" t="str">
        <f>IF(B28="","",IFERROR(SUMIFS(Mișcări!$L$5:$L$2004,Mișcări!$D$5:$D$2004,B28)/SUMIFS(Mișcări!$F$5:$F$2004,Mișcări!$D$5:$D$2004,B28,Mișcări!$J$5:$J$2004,1,Mișcări!$G$5:$G$2004,"&gt;0"),Produse!G28))</f>
        <v/>
      </c>
      <c r="H28" s="18" t="str">
        <f t="shared" si="0"/>
        <v/>
      </c>
      <c r="I28" s="21" t="str">
        <f>IF(B28="","",Produse!I28)</f>
        <v/>
      </c>
      <c r="J28" s="21" t="str">
        <f>IF(B28="","",Produse!J28)</f>
        <v/>
      </c>
      <c r="K28" s="21" t="str">
        <f>IF(B28="","",-SUMIFS(Mișcări!$K$5:$K$2004,Mișcări!$D$5:$D$2004,B28,Mișcări!$J$5:$J$2004,-1,Mișcări!$B$5:$B$2004,"&gt;"&amp;(Azi-ZileConsum),Mișcări!$B$5:$B$2004,"&lt;="&amp;Azi))</f>
        <v/>
      </c>
      <c r="L28" s="17" t="str">
        <f t="shared" si="1"/>
        <v/>
      </c>
      <c r="M28" s="11" t="str">
        <f t="shared" si="2"/>
        <v/>
      </c>
      <c r="N28" s="22" t="str">
        <f>IF(B28="","",IFERROR(_xlfn.AGGREGATE(14,6,Mișcări!$B$5:$B$2004/(Mișcări!$D$5:$D$2004=B28),1),""))</f>
        <v/>
      </c>
      <c r="O28" s="11" t="str">
        <f t="shared" si="3"/>
        <v/>
      </c>
      <c r="P28" s="21" t="str">
        <f t="shared" si="4"/>
        <v/>
      </c>
    </row>
    <row r="29" spans="2:16" x14ac:dyDescent="0.2">
      <c r="B29" s="11" t="str">
        <f>IF(Produse!B29="","",Produse!B29)</f>
        <v/>
      </c>
      <c r="C29" s="10" t="str">
        <f>IF(B29="","",Produse!C29)</f>
        <v/>
      </c>
      <c r="D29" s="10" t="str">
        <f>IF(B29="","",Produse!D29)</f>
        <v/>
      </c>
      <c r="E29" s="11" t="str">
        <f>IF(B29="","",Produse!E29)</f>
        <v/>
      </c>
      <c r="F29" s="17" t="str">
        <f>IF(B29="","",SUMIFS(Mișcări!$K$5:$K$2004,Mișcări!$D$5:$D$2004,B29,Mișcări!$B$5:$B$2004,"&lt;="&amp;Azi))</f>
        <v/>
      </c>
      <c r="G29" s="18" t="str">
        <f>IF(B29="","",IFERROR(SUMIFS(Mișcări!$L$5:$L$2004,Mișcări!$D$5:$D$2004,B29)/SUMIFS(Mișcări!$F$5:$F$2004,Mișcări!$D$5:$D$2004,B29,Mișcări!$J$5:$J$2004,1,Mișcări!$G$5:$G$2004,"&gt;0"),Produse!G29))</f>
        <v/>
      </c>
      <c r="H29" s="18" t="str">
        <f t="shared" si="0"/>
        <v/>
      </c>
      <c r="I29" s="21" t="str">
        <f>IF(B29="","",Produse!I29)</f>
        <v/>
      </c>
      <c r="J29" s="21" t="str">
        <f>IF(B29="","",Produse!J29)</f>
        <v/>
      </c>
      <c r="K29" s="21" t="str">
        <f>IF(B29="","",-SUMIFS(Mișcări!$K$5:$K$2004,Mișcări!$D$5:$D$2004,B29,Mișcări!$J$5:$J$2004,-1,Mișcări!$B$5:$B$2004,"&gt;"&amp;(Azi-ZileConsum),Mișcări!$B$5:$B$2004,"&lt;="&amp;Azi))</f>
        <v/>
      </c>
      <c r="L29" s="17" t="str">
        <f t="shared" si="1"/>
        <v/>
      </c>
      <c r="M29" s="11" t="str">
        <f t="shared" si="2"/>
        <v/>
      </c>
      <c r="N29" s="22" t="str">
        <f>IF(B29="","",IFERROR(_xlfn.AGGREGATE(14,6,Mișcări!$B$5:$B$2004/(Mișcări!$D$5:$D$2004=B29),1),""))</f>
        <v/>
      </c>
      <c r="O29" s="11" t="str">
        <f t="shared" si="3"/>
        <v/>
      </c>
      <c r="P29" s="21" t="str">
        <f t="shared" si="4"/>
        <v/>
      </c>
    </row>
    <row r="30" spans="2:16" x14ac:dyDescent="0.2">
      <c r="B30" s="11" t="str">
        <f>IF(Produse!B30="","",Produse!B30)</f>
        <v/>
      </c>
      <c r="C30" s="10" t="str">
        <f>IF(B30="","",Produse!C30)</f>
        <v/>
      </c>
      <c r="D30" s="10" t="str">
        <f>IF(B30="","",Produse!D30)</f>
        <v/>
      </c>
      <c r="E30" s="11" t="str">
        <f>IF(B30="","",Produse!E30)</f>
        <v/>
      </c>
      <c r="F30" s="17" t="str">
        <f>IF(B30="","",SUMIFS(Mișcări!$K$5:$K$2004,Mișcări!$D$5:$D$2004,B30,Mișcări!$B$5:$B$2004,"&lt;="&amp;Azi))</f>
        <v/>
      </c>
      <c r="G30" s="18" t="str">
        <f>IF(B30="","",IFERROR(SUMIFS(Mișcări!$L$5:$L$2004,Mișcări!$D$5:$D$2004,B30)/SUMIFS(Mișcări!$F$5:$F$2004,Mișcări!$D$5:$D$2004,B30,Mișcări!$J$5:$J$2004,1,Mișcări!$G$5:$G$2004,"&gt;0"),Produse!G30))</f>
        <v/>
      </c>
      <c r="H30" s="18" t="str">
        <f t="shared" si="0"/>
        <v/>
      </c>
      <c r="I30" s="21" t="str">
        <f>IF(B30="","",Produse!I30)</f>
        <v/>
      </c>
      <c r="J30" s="21" t="str">
        <f>IF(B30="","",Produse!J30)</f>
        <v/>
      </c>
      <c r="K30" s="21" t="str">
        <f>IF(B30="","",-SUMIFS(Mișcări!$K$5:$K$2004,Mișcări!$D$5:$D$2004,B30,Mișcări!$J$5:$J$2004,-1,Mișcări!$B$5:$B$2004,"&gt;"&amp;(Azi-ZileConsum),Mișcări!$B$5:$B$2004,"&lt;="&amp;Azi))</f>
        <v/>
      </c>
      <c r="L30" s="17" t="str">
        <f t="shared" si="1"/>
        <v/>
      </c>
      <c r="M30" s="11" t="str">
        <f t="shared" si="2"/>
        <v/>
      </c>
      <c r="N30" s="22" t="str">
        <f>IF(B30="","",IFERROR(_xlfn.AGGREGATE(14,6,Mișcări!$B$5:$B$2004/(Mișcări!$D$5:$D$2004=B30),1),""))</f>
        <v/>
      </c>
      <c r="O30" s="11" t="str">
        <f t="shared" si="3"/>
        <v/>
      </c>
      <c r="P30" s="21" t="str">
        <f t="shared" si="4"/>
        <v/>
      </c>
    </row>
    <row r="31" spans="2:16" x14ac:dyDescent="0.2">
      <c r="B31" s="11" t="str">
        <f>IF(Produse!B31="","",Produse!B31)</f>
        <v/>
      </c>
      <c r="C31" s="10" t="str">
        <f>IF(B31="","",Produse!C31)</f>
        <v/>
      </c>
      <c r="D31" s="10" t="str">
        <f>IF(B31="","",Produse!D31)</f>
        <v/>
      </c>
      <c r="E31" s="11" t="str">
        <f>IF(B31="","",Produse!E31)</f>
        <v/>
      </c>
      <c r="F31" s="17" t="str">
        <f>IF(B31="","",SUMIFS(Mișcări!$K$5:$K$2004,Mișcări!$D$5:$D$2004,B31,Mișcări!$B$5:$B$2004,"&lt;="&amp;Azi))</f>
        <v/>
      </c>
      <c r="G31" s="18" t="str">
        <f>IF(B31="","",IFERROR(SUMIFS(Mișcări!$L$5:$L$2004,Mișcări!$D$5:$D$2004,B31)/SUMIFS(Mișcări!$F$5:$F$2004,Mișcări!$D$5:$D$2004,B31,Mișcări!$J$5:$J$2004,1,Mișcări!$G$5:$G$2004,"&gt;0"),Produse!G31))</f>
        <v/>
      </c>
      <c r="H31" s="18" t="str">
        <f t="shared" si="0"/>
        <v/>
      </c>
      <c r="I31" s="21" t="str">
        <f>IF(B31="","",Produse!I31)</f>
        <v/>
      </c>
      <c r="J31" s="21" t="str">
        <f>IF(B31="","",Produse!J31)</f>
        <v/>
      </c>
      <c r="K31" s="21" t="str">
        <f>IF(B31="","",-SUMIFS(Mișcări!$K$5:$K$2004,Mișcări!$D$5:$D$2004,B31,Mișcări!$J$5:$J$2004,-1,Mișcări!$B$5:$B$2004,"&gt;"&amp;(Azi-ZileConsum),Mișcări!$B$5:$B$2004,"&lt;="&amp;Azi))</f>
        <v/>
      </c>
      <c r="L31" s="17" t="str">
        <f t="shared" si="1"/>
        <v/>
      </c>
      <c r="M31" s="11" t="str">
        <f t="shared" si="2"/>
        <v/>
      </c>
      <c r="N31" s="22" t="str">
        <f>IF(B31="","",IFERROR(_xlfn.AGGREGATE(14,6,Mișcări!$B$5:$B$2004/(Mișcări!$D$5:$D$2004=B31),1),""))</f>
        <v/>
      </c>
      <c r="O31" s="11" t="str">
        <f t="shared" si="3"/>
        <v/>
      </c>
      <c r="P31" s="21" t="str">
        <f t="shared" si="4"/>
        <v/>
      </c>
    </row>
    <row r="32" spans="2:16" x14ac:dyDescent="0.2">
      <c r="B32" s="11" t="str">
        <f>IF(Produse!B32="","",Produse!B32)</f>
        <v/>
      </c>
      <c r="C32" s="10" t="str">
        <f>IF(B32="","",Produse!C32)</f>
        <v/>
      </c>
      <c r="D32" s="10" t="str">
        <f>IF(B32="","",Produse!D32)</f>
        <v/>
      </c>
      <c r="E32" s="11" t="str">
        <f>IF(B32="","",Produse!E32)</f>
        <v/>
      </c>
      <c r="F32" s="17" t="str">
        <f>IF(B32="","",SUMIFS(Mișcări!$K$5:$K$2004,Mișcări!$D$5:$D$2004,B32,Mișcări!$B$5:$B$2004,"&lt;="&amp;Azi))</f>
        <v/>
      </c>
      <c r="G32" s="18" t="str">
        <f>IF(B32="","",IFERROR(SUMIFS(Mișcări!$L$5:$L$2004,Mișcări!$D$5:$D$2004,B32)/SUMIFS(Mișcări!$F$5:$F$2004,Mișcări!$D$5:$D$2004,B32,Mișcări!$J$5:$J$2004,1,Mișcări!$G$5:$G$2004,"&gt;0"),Produse!G32))</f>
        <v/>
      </c>
      <c r="H32" s="18" t="str">
        <f t="shared" si="0"/>
        <v/>
      </c>
      <c r="I32" s="21" t="str">
        <f>IF(B32="","",Produse!I32)</f>
        <v/>
      </c>
      <c r="J32" s="21" t="str">
        <f>IF(B32="","",Produse!J32)</f>
        <v/>
      </c>
      <c r="K32" s="21" t="str">
        <f>IF(B32="","",-SUMIFS(Mișcări!$K$5:$K$2004,Mișcări!$D$5:$D$2004,B32,Mișcări!$J$5:$J$2004,-1,Mișcări!$B$5:$B$2004,"&gt;"&amp;(Azi-ZileConsum),Mișcări!$B$5:$B$2004,"&lt;="&amp;Azi))</f>
        <v/>
      </c>
      <c r="L32" s="17" t="str">
        <f t="shared" si="1"/>
        <v/>
      </c>
      <c r="M32" s="11" t="str">
        <f t="shared" si="2"/>
        <v/>
      </c>
      <c r="N32" s="22" t="str">
        <f>IF(B32="","",IFERROR(_xlfn.AGGREGATE(14,6,Mișcări!$B$5:$B$2004/(Mișcări!$D$5:$D$2004=B32),1),""))</f>
        <v/>
      </c>
      <c r="O32" s="11" t="str">
        <f t="shared" si="3"/>
        <v/>
      </c>
      <c r="P32" s="21" t="str">
        <f t="shared" si="4"/>
        <v/>
      </c>
    </row>
    <row r="33" spans="2:16" x14ac:dyDescent="0.2">
      <c r="B33" s="11" t="str">
        <f>IF(Produse!B33="","",Produse!B33)</f>
        <v/>
      </c>
      <c r="C33" s="10" t="str">
        <f>IF(B33="","",Produse!C33)</f>
        <v/>
      </c>
      <c r="D33" s="10" t="str">
        <f>IF(B33="","",Produse!D33)</f>
        <v/>
      </c>
      <c r="E33" s="11" t="str">
        <f>IF(B33="","",Produse!E33)</f>
        <v/>
      </c>
      <c r="F33" s="17" t="str">
        <f>IF(B33="","",SUMIFS(Mișcări!$K$5:$K$2004,Mișcări!$D$5:$D$2004,B33,Mișcări!$B$5:$B$2004,"&lt;="&amp;Azi))</f>
        <v/>
      </c>
      <c r="G33" s="18" t="str">
        <f>IF(B33="","",IFERROR(SUMIFS(Mișcări!$L$5:$L$2004,Mișcări!$D$5:$D$2004,B33)/SUMIFS(Mișcări!$F$5:$F$2004,Mișcări!$D$5:$D$2004,B33,Mișcări!$J$5:$J$2004,1,Mișcări!$G$5:$G$2004,"&gt;0"),Produse!G33))</f>
        <v/>
      </c>
      <c r="H33" s="18" t="str">
        <f t="shared" si="0"/>
        <v/>
      </c>
      <c r="I33" s="21" t="str">
        <f>IF(B33="","",Produse!I33)</f>
        <v/>
      </c>
      <c r="J33" s="21" t="str">
        <f>IF(B33="","",Produse!J33)</f>
        <v/>
      </c>
      <c r="K33" s="21" t="str">
        <f>IF(B33="","",-SUMIFS(Mișcări!$K$5:$K$2004,Mișcări!$D$5:$D$2004,B33,Mișcări!$J$5:$J$2004,-1,Mișcări!$B$5:$B$2004,"&gt;"&amp;(Azi-ZileConsum),Mișcări!$B$5:$B$2004,"&lt;="&amp;Azi))</f>
        <v/>
      </c>
      <c r="L33" s="17" t="str">
        <f t="shared" si="1"/>
        <v/>
      </c>
      <c r="M33" s="11" t="str">
        <f t="shared" si="2"/>
        <v/>
      </c>
      <c r="N33" s="22" t="str">
        <f>IF(B33="","",IFERROR(_xlfn.AGGREGATE(14,6,Mișcări!$B$5:$B$2004/(Mișcări!$D$5:$D$2004=B33),1),""))</f>
        <v/>
      </c>
      <c r="O33" s="11" t="str">
        <f t="shared" si="3"/>
        <v/>
      </c>
      <c r="P33" s="21" t="str">
        <f t="shared" si="4"/>
        <v/>
      </c>
    </row>
    <row r="34" spans="2:16" x14ac:dyDescent="0.2">
      <c r="B34" s="11" t="str">
        <f>IF(Produse!B34="","",Produse!B34)</f>
        <v/>
      </c>
      <c r="C34" s="10" t="str">
        <f>IF(B34="","",Produse!C34)</f>
        <v/>
      </c>
      <c r="D34" s="10" t="str">
        <f>IF(B34="","",Produse!D34)</f>
        <v/>
      </c>
      <c r="E34" s="11" t="str">
        <f>IF(B34="","",Produse!E34)</f>
        <v/>
      </c>
      <c r="F34" s="17" t="str">
        <f>IF(B34="","",SUMIFS(Mișcări!$K$5:$K$2004,Mișcări!$D$5:$D$2004,B34,Mișcări!$B$5:$B$2004,"&lt;="&amp;Azi))</f>
        <v/>
      </c>
      <c r="G34" s="18" t="str">
        <f>IF(B34="","",IFERROR(SUMIFS(Mișcări!$L$5:$L$2004,Mișcări!$D$5:$D$2004,B34)/SUMIFS(Mișcări!$F$5:$F$2004,Mișcări!$D$5:$D$2004,B34,Mișcări!$J$5:$J$2004,1,Mișcări!$G$5:$G$2004,"&gt;0"),Produse!G34))</f>
        <v/>
      </c>
      <c r="H34" s="18" t="str">
        <f t="shared" si="0"/>
        <v/>
      </c>
      <c r="I34" s="21" t="str">
        <f>IF(B34="","",Produse!I34)</f>
        <v/>
      </c>
      <c r="J34" s="21" t="str">
        <f>IF(B34="","",Produse!J34)</f>
        <v/>
      </c>
      <c r="K34" s="21" t="str">
        <f>IF(B34="","",-SUMIFS(Mișcări!$K$5:$K$2004,Mișcări!$D$5:$D$2004,B34,Mișcări!$J$5:$J$2004,-1,Mișcări!$B$5:$B$2004,"&gt;"&amp;(Azi-ZileConsum),Mișcări!$B$5:$B$2004,"&lt;="&amp;Azi))</f>
        <v/>
      </c>
      <c r="L34" s="17" t="str">
        <f t="shared" si="1"/>
        <v/>
      </c>
      <c r="M34" s="11" t="str">
        <f t="shared" si="2"/>
        <v/>
      </c>
      <c r="N34" s="22" t="str">
        <f>IF(B34="","",IFERROR(_xlfn.AGGREGATE(14,6,Mișcări!$B$5:$B$2004/(Mișcări!$D$5:$D$2004=B34),1),""))</f>
        <v/>
      </c>
      <c r="O34" s="11" t="str">
        <f t="shared" si="3"/>
        <v/>
      </c>
      <c r="P34" s="21" t="str">
        <f t="shared" si="4"/>
        <v/>
      </c>
    </row>
    <row r="35" spans="2:16" x14ac:dyDescent="0.2">
      <c r="B35" s="11" t="str">
        <f>IF(Produse!B35="","",Produse!B35)</f>
        <v/>
      </c>
      <c r="C35" s="10" t="str">
        <f>IF(B35="","",Produse!C35)</f>
        <v/>
      </c>
      <c r="D35" s="10" t="str">
        <f>IF(B35="","",Produse!D35)</f>
        <v/>
      </c>
      <c r="E35" s="11" t="str">
        <f>IF(B35="","",Produse!E35)</f>
        <v/>
      </c>
      <c r="F35" s="17" t="str">
        <f>IF(B35="","",SUMIFS(Mișcări!$K$5:$K$2004,Mișcări!$D$5:$D$2004,B35,Mișcări!$B$5:$B$2004,"&lt;="&amp;Azi))</f>
        <v/>
      </c>
      <c r="G35" s="18" t="str">
        <f>IF(B35="","",IFERROR(SUMIFS(Mișcări!$L$5:$L$2004,Mișcări!$D$5:$D$2004,B35)/SUMIFS(Mișcări!$F$5:$F$2004,Mișcări!$D$5:$D$2004,B35,Mișcări!$J$5:$J$2004,1,Mișcări!$G$5:$G$2004,"&gt;0"),Produse!G35))</f>
        <v/>
      </c>
      <c r="H35" s="18" t="str">
        <f t="shared" si="0"/>
        <v/>
      </c>
      <c r="I35" s="21" t="str">
        <f>IF(B35="","",Produse!I35)</f>
        <v/>
      </c>
      <c r="J35" s="21" t="str">
        <f>IF(B35="","",Produse!J35)</f>
        <v/>
      </c>
      <c r="K35" s="21" t="str">
        <f>IF(B35="","",-SUMIFS(Mișcări!$K$5:$K$2004,Mișcări!$D$5:$D$2004,B35,Mișcări!$J$5:$J$2004,-1,Mișcări!$B$5:$B$2004,"&gt;"&amp;(Azi-ZileConsum),Mișcări!$B$5:$B$2004,"&lt;="&amp;Azi))</f>
        <v/>
      </c>
      <c r="L35" s="17" t="str">
        <f t="shared" si="1"/>
        <v/>
      </c>
      <c r="M35" s="11" t="str">
        <f t="shared" si="2"/>
        <v/>
      </c>
      <c r="N35" s="22" t="str">
        <f>IF(B35="","",IFERROR(_xlfn.AGGREGATE(14,6,Mișcări!$B$5:$B$2004/(Mișcări!$D$5:$D$2004=B35),1),""))</f>
        <v/>
      </c>
      <c r="O35" s="11" t="str">
        <f t="shared" si="3"/>
        <v/>
      </c>
      <c r="P35" s="21" t="str">
        <f t="shared" si="4"/>
        <v/>
      </c>
    </row>
    <row r="36" spans="2:16" x14ac:dyDescent="0.2">
      <c r="B36" s="11" t="str">
        <f>IF(Produse!B36="","",Produse!B36)</f>
        <v/>
      </c>
      <c r="C36" s="10" t="str">
        <f>IF(B36="","",Produse!C36)</f>
        <v/>
      </c>
      <c r="D36" s="10" t="str">
        <f>IF(B36="","",Produse!D36)</f>
        <v/>
      </c>
      <c r="E36" s="11" t="str">
        <f>IF(B36="","",Produse!E36)</f>
        <v/>
      </c>
      <c r="F36" s="17" t="str">
        <f>IF(B36="","",SUMIFS(Mișcări!$K$5:$K$2004,Mișcări!$D$5:$D$2004,B36,Mișcări!$B$5:$B$2004,"&lt;="&amp;Azi))</f>
        <v/>
      </c>
      <c r="G36" s="18" t="str">
        <f>IF(B36="","",IFERROR(SUMIFS(Mișcări!$L$5:$L$2004,Mișcări!$D$5:$D$2004,B36)/SUMIFS(Mișcări!$F$5:$F$2004,Mișcări!$D$5:$D$2004,B36,Mișcări!$J$5:$J$2004,1,Mișcări!$G$5:$G$2004,"&gt;0"),Produse!G36))</f>
        <v/>
      </c>
      <c r="H36" s="18" t="str">
        <f t="shared" si="0"/>
        <v/>
      </c>
      <c r="I36" s="21" t="str">
        <f>IF(B36="","",Produse!I36)</f>
        <v/>
      </c>
      <c r="J36" s="21" t="str">
        <f>IF(B36="","",Produse!J36)</f>
        <v/>
      </c>
      <c r="K36" s="21" t="str">
        <f>IF(B36="","",-SUMIFS(Mișcări!$K$5:$K$2004,Mișcări!$D$5:$D$2004,B36,Mișcări!$J$5:$J$2004,-1,Mișcări!$B$5:$B$2004,"&gt;"&amp;(Azi-ZileConsum),Mișcări!$B$5:$B$2004,"&lt;="&amp;Azi))</f>
        <v/>
      </c>
      <c r="L36" s="17" t="str">
        <f t="shared" si="1"/>
        <v/>
      </c>
      <c r="M36" s="11" t="str">
        <f t="shared" si="2"/>
        <v/>
      </c>
      <c r="N36" s="22" t="str">
        <f>IF(B36="","",IFERROR(_xlfn.AGGREGATE(14,6,Mișcări!$B$5:$B$2004/(Mișcări!$D$5:$D$2004=B36),1),""))</f>
        <v/>
      </c>
      <c r="O36" s="11" t="str">
        <f t="shared" si="3"/>
        <v/>
      </c>
      <c r="P36" s="21" t="str">
        <f t="shared" si="4"/>
        <v/>
      </c>
    </row>
    <row r="37" spans="2:16" x14ac:dyDescent="0.2">
      <c r="B37" s="11" t="str">
        <f>IF(Produse!B37="","",Produse!B37)</f>
        <v/>
      </c>
      <c r="C37" s="10" t="str">
        <f>IF(B37="","",Produse!C37)</f>
        <v/>
      </c>
      <c r="D37" s="10" t="str">
        <f>IF(B37="","",Produse!D37)</f>
        <v/>
      </c>
      <c r="E37" s="11" t="str">
        <f>IF(B37="","",Produse!E37)</f>
        <v/>
      </c>
      <c r="F37" s="17" t="str">
        <f>IF(B37="","",SUMIFS(Mișcări!$K$5:$K$2004,Mișcări!$D$5:$D$2004,B37,Mișcări!$B$5:$B$2004,"&lt;="&amp;Azi))</f>
        <v/>
      </c>
      <c r="G37" s="18" t="str">
        <f>IF(B37="","",IFERROR(SUMIFS(Mișcări!$L$5:$L$2004,Mișcări!$D$5:$D$2004,B37)/SUMIFS(Mișcări!$F$5:$F$2004,Mișcări!$D$5:$D$2004,B37,Mișcări!$J$5:$J$2004,1,Mișcări!$G$5:$G$2004,"&gt;0"),Produse!G37))</f>
        <v/>
      </c>
      <c r="H37" s="18" t="str">
        <f t="shared" ref="H37:H68" si="5">IF(B37="","",ROUND(MAX(0,F37)*G37,2))</f>
        <v/>
      </c>
      <c r="I37" s="21" t="str">
        <f>IF(B37="","",Produse!I37)</f>
        <v/>
      </c>
      <c r="J37" s="21" t="str">
        <f>IF(B37="","",Produse!J37)</f>
        <v/>
      </c>
      <c r="K37" s="21" t="str">
        <f>IF(B37="","",-SUMIFS(Mișcări!$K$5:$K$2004,Mișcări!$D$5:$D$2004,B37,Mișcări!$J$5:$J$2004,-1,Mișcări!$B$5:$B$2004,"&gt;"&amp;(Azi-ZileConsum),Mișcări!$B$5:$B$2004,"&lt;="&amp;Azi))</f>
        <v/>
      </c>
      <c r="L37" s="17" t="str">
        <f t="shared" ref="L37:L68" si="6">IF(B37="","",K37/ZileConsum)</f>
        <v/>
      </c>
      <c r="M37" s="11" t="str">
        <f t="shared" ref="M37:M68" si="7">IF(B37="","",IF(N(L37)=0,"–",ROUND(MAX(0,F37)/L37,0)))</f>
        <v/>
      </c>
      <c r="N37" s="22" t="str">
        <f>IF(B37="","",IFERROR(_xlfn.AGGREGATE(14,6,Mișcări!$B$5:$B$2004/(Mișcări!$D$5:$D$2004=B37),1),""))</f>
        <v/>
      </c>
      <c r="O37" s="11" t="str">
        <f t="shared" ref="O37:O68" si="8">IF(B37="","",IF(F37&lt;=0,"Ruptură de stoc",IF(F37&lt;I37,"Sub stoc minim",IF(AND(N(J37)&gt;0,F37&gt;J37),"Exces de stoc",IF(AND(N37&lt;&gt;"",Azi-N37&gt;ZileMort),"Fără mișcare","OK")))))</f>
        <v/>
      </c>
      <c r="P37" s="21" t="str">
        <f t="shared" ref="P37:P68" si="9">IF(B37="","",IF(F37&lt;I37,MAX(0,J37-MAX(0,F37)),0))</f>
        <v/>
      </c>
    </row>
    <row r="38" spans="2:16" x14ac:dyDescent="0.2">
      <c r="B38" s="11" t="str">
        <f>IF(Produse!B38="","",Produse!B38)</f>
        <v/>
      </c>
      <c r="C38" s="10" t="str">
        <f>IF(B38="","",Produse!C38)</f>
        <v/>
      </c>
      <c r="D38" s="10" t="str">
        <f>IF(B38="","",Produse!D38)</f>
        <v/>
      </c>
      <c r="E38" s="11" t="str">
        <f>IF(B38="","",Produse!E38)</f>
        <v/>
      </c>
      <c r="F38" s="17" t="str">
        <f>IF(B38="","",SUMIFS(Mișcări!$K$5:$K$2004,Mișcări!$D$5:$D$2004,B38,Mișcări!$B$5:$B$2004,"&lt;="&amp;Azi))</f>
        <v/>
      </c>
      <c r="G38" s="18" t="str">
        <f>IF(B38="","",IFERROR(SUMIFS(Mișcări!$L$5:$L$2004,Mișcări!$D$5:$D$2004,B38)/SUMIFS(Mișcări!$F$5:$F$2004,Mișcări!$D$5:$D$2004,B38,Mișcări!$J$5:$J$2004,1,Mișcări!$G$5:$G$2004,"&gt;0"),Produse!G38))</f>
        <v/>
      </c>
      <c r="H38" s="18" t="str">
        <f t="shared" si="5"/>
        <v/>
      </c>
      <c r="I38" s="21" t="str">
        <f>IF(B38="","",Produse!I38)</f>
        <v/>
      </c>
      <c r="J38" s="21" t="str">
        <f>IF(B38="","",Produse!J38)</f>
        <v/>
      </c>
      <c r="K38" s="21" t="str">
        <f>IF(B38="","",-SUMIFS(Mișcări!$K$5:$K$2004,Mișcări!$D$5:$D$2004,B38,Mișcări!$J$5:$J$2004,-1,Mișcări!$B$5:$B$2004,"&gt;"&amp;(Azi-ZileConsum),Mișcări!$B$5:$B$2004,"&lt;="&amp;Azi))</f>
        <v/>
      </c>
      <c r="L38" s="17" t="str">
        <f t="shared" si="6"/>
        <v/>
      </c>
      <c r="M38" s="11" t="str">
        <f t="shared" si="7"/>
        <v/>
      </c>
      <c r="N38" s="22" t="str">
        <f>IF(B38="","",IFERROR(_xlfn.AGGREGATE(14,6,Mișcări!$B$5:$B$2004/(Mișcări!$D$5:$D$2004=B38),1),""))</f>
        <v/>
      </c>
      <c r="O38" s="11" t="str">
        <f t="shared" si="8"/>
        <v/>
      </c>
      <c r="P38" s="21" t="str">
        <f t="shared" si="9"/>
        <v/>
      </c>
    </row>
    <row r="39" spans="2:16" x14ac:dyDescent="0.2">
      <c r="B39" s="11" t="str">
        <f>IF(Produse!B39="","",Produse!B39)</f>
        <v/>
      </c>
      <c r="C39" s="10" t="str">
        <f>IF(B39="","",Produse!C39)</f>
        <v/>
      </c>
      <c r="D39" s="10" t="str">
        <f>IF(B39="","",Produse!D39)</f>
        <v/>
      </c>
      <c r="E39" s="11" t="str">
        <f>IF(B39="","",Produse!E39)</f>
        <v/>
      </c>
      <c r="F39" s="17" t="str">
        <f>IF(B39="","",SUMIFS(Mișcări!$K$5:$K$2004,Mișcări!$D$5:$D$2004,B39,Mișcări!$B$5:$B$2004,"&lt;="&amp;Azi))</f>
        <v/>
      </c>
      <c r="G39" s="18" t="str">
        <f>IF(B39="","",IFERROR(SUMIFS(Mișcări!$L$5:$L$2004,Mișcări!$D$5:$D$2004,B39)/SUMIFS(Mișcări!$F$5:$F$2004,Mișcări!$D$5:$D$2004,B39,Mișcări!$J$5:$J$2004,1,Mișcări!$G$5:$G$2004,"&gt;0"),Produse!G39))</f>
        <v/>
      </c>
      <c r="H39" s="18" t="str">
        <f t="shared" si="5"/>
        <v/>
      </c>
      <c r="I39" s="21" t="str">
        <f>IF(B39="","",Produse!I39)</f>
        <v/>
      </c>
      <c r="J39" s="21" t="str">
        <f>IF(B39="","",Produse!J39)</f>
        <v/>
      </c>
      <c r="K39" s="21" t="str">
        <f>IF(B39="","",-SUMIFS(Mișcări!$K$5:$K$2004,Mișcări!$D$5:$D$2004,B39,Mișcări!$J$5:$J$2004,-1,Mișcări!$B$5:$B$2004,"&gt;"&amp;(Azi-ZileConsum),Mișcări!$B$5:$B$2004,"&lt;="&amp;Azi))</f>
        <v/>
      </c>
      <c r="L39" s="17" t="str">
        <f t="shared" si="6"/>
        <v/>
      </c>
      <c r="M39" s="11" t="str">
        <f t="shared" si="7"/>
        <v/>
      </c>
      <c r="N39" s="22" t="str">
        <f>IF(B39="","",IFERROR(_xlfn.AGGREGATE(14,6,Mișcări!$B$5:$B$2004/(Mișcări!$D$5:$D$2004=B39),1),""))</f>
        <v/>
      </c>
      <c r="O39" s="11" t="str">
        <f t="shared" si="8"/>
        <v/>
      </c>
      <c r="P39" s="21" t="str">
        <f t="shared" si="9"/>
        <v/>
      </c>
    </row>
    <row r="40" spans="2:16" x14ac:dyDescent="0.2">
      <c r="B40" s="11" t="str">
        <f>IF(Produse!B40="","",Produse!B40)</f>
        <v/>
      </c>
      <c r="C40" s="10" t="str">
        <f>IF(B40="","",Produse!C40)</f>
        <v/>
      </c>
      <c r="D40" s="10" t="str">
        <f>IF(B40="","",Produse!D40)</f>
        <v/>
      </c>
      <c r="E40" s="11" t="str">
        <f>IF(B40="","",Produse!E40)</f>
        <v/>
      </c>
      <c r="F40" s="17" t="str">
        <f>IF(B40="","",SUMIFS(Mișcări!$K$5:$K$2004,Mișcări!$D$5:$D$2004,B40,Mișcări!$B$5:$B$2004,"&lt;="&amp;Azi))</f>
        <v/>
      </c>
      <c r="G40" s="18" t="str">
        <f>IF(B40="","",IFERROR(SUMIFS(Mișcări!$L$5:$L$2004,Mișcări!$D$5:$D$2004,B40)/SUMIFS(Mișcări!$F$5:$F$2004,Mișcări!$D$5:$D$2004,B40,Mișcări!$J$5:$J$2004,1,Mișcări!$G$5:$G$2004,"&gt;0"),Produse!G40))</f>
        <v/>
      </c>
      <c r="H40" s="18" t="str">
        <f t="shared" si="5"/>
        <v/>
      </c>
      <c r="I40" s="21" t="str">
        <f>IF(B40="","",Produse!I40)</f>
        <v/>
      </c>
      <c r="J40" s="21" t="str">
        <f>IF(B40="","",Produse!J40)</f>
        <v/>
      </c>
      <c r="K40" s="21" t="str">
        <f>IF(B40="","",-SUMIFS(Mișcări!$K$5:$K$2004,Mișcări!$D$5:$D$2004,B40,Mișcări!$J$5:$J$2004,-1,Mișcări!$B$5:$B$2004,"&gt;"&amp;(Azi-ZileConsum),Mișcări!$B$5:$B$2004,"&lt;="&amp;Azi))</f>
        <v/>
      </c>
      <c r="L40" s="17" t="str">
        <f t="shared" si="6"/>
        <v/>
      </c>
      <c r="M40" s="11" t="str">
        <f t="shared" si="7"/>
        <v/>
      </c>
      <c r="N40" s="22" t="str">
        <f>IF(B40="","",IFERROR(_xlfn.AGGREGATE(14,6,Mișcări!$B$5:$B$2004/(Mișcări!$D$5:$D$2004=B40),1),""))</f>
        <v/>
      </c>
      <c r="O40" s="11" t="str">
        <f t="shared" si="8"/>
        <v/>
      </c>
      <c r="P40" s="21" t="str">
        <f t="shared" si="9"/>
        <v/>
      </c>
    </row>
    <row r="41" spans="2:16" x14ac:dyDescent="0.2">
      <c r="B41" s="11" t="str">
        <f>IF(Produse!B41="","",Produse!B41)</f>
        <v/>
      </c>
      <c r="C41" s="10" t="str">
        <f>IF(B41="","",Produse!C41)</f>
        <v/>
      </c>
      <c r="D41" s="10" t="str">
        <f>IF(B41="","",Produse!D41)</f>
        <v/>
      </c>
      <c r="E41" s="11" t="str">
        <f>IF(B41="","",Produse!E41)</f>
        <v/>
      </c>
      <c r="F41" s="17" t="str">
        <f>IF(B41="","",SUMIFS(Mișcări!$K$5:$K$2004,Mișcări!$D$5:$D$2004,B41,Mișcări!$B$5:$B$2004,"&lt;="&amp;Azi))</f>
        <v/>
      </c>
      <c r="G41" s="18" t="str">
        <f>IF(B41="","",IFERROR(SUMIFS(Mișcări!$L$5:$L$2004,Mișcări!$D$5:$D$2004,B41)/SUMIFS(Mișcări!$F$5:$F$2004,Mișcări!$D$5:$D$2004,B41,Mișcări!$J$5:$J$2004,1,Mișcări!$G$5:$G$2004,"&gt;0"),Produse!G41))</f>
        <v/>
      </c>
      <c r="H41" s="18" t="str">
        <f t="shared" si="5"/>
        <v/>
      </c>
      <c r="I41" s="21" t="str">
        <f>IF(B41="","",Produse!I41)</f>
        <v/>
      </c>
      <c r="J41" s="21" t="str">
        <f>IF(B41="","",Produse!J41)</f>
        <v/>
      </c>
      <c r="K41" s="21" t="str">
        <f>IF(B41="","",-SUMIFS(Mișcări!$K$5:$K$2004,Mișcări!$D$5:$D$2004,B41,Mișcări!$J$5:$J$2004,-1,Mișcări!$B$5:$B$2004,"&gt;"&amp;(Azi-ZileConsum),Mișcări!$B$5:$B$2004,"&lt;="&amp;Azi))</f>
        <v/>
      </c>
      <c r="L41" s="17" t="str">
        <f t="shared" si="6"/>
        <v/>
      </c>
      <c r="M41" s="11" t="str">
        <f t="shared" si="7"/>
        <v/>
      </c>
      <c r="N41" s="22" t="str">
        <f>IF(B41="","",IFERROR(_xlfn.AGGREGATE(14,6,Mișcări!$B$5:$B$2004/(Mișcări!$D$5:$D$2004=B41),1),""))</f>
        <v/>
      </c>
      <c r="O41" s="11" t="str">
        <f t="shared" si="8"/>
        <v/>
      </c>
      <c r="P41" s="21" t="str">
        <f t="shared" si="9"/>
        <v/>
      </c>
    </row>
    <row r="42" spans="2:16" x14ac:dyDescent="0.2">
      <c r="B42" s="11" t="str">
        <f>IF(Produse!B42="","",Produse!B42)</f>
        <v/>
      </c>
      <c r="C42" s="10" t="str">
        <f>IF(B42="","",Produse!C42)</f>
        <v/>
      </c>
      <c r="D42" s="10" t="str">
        <f>IF(B42="","",Produse!D42)</f>
        <v/>
      </c>
      <c r="E42" s="11" t="str">
        <f>IF(B42="","",Produse!E42)</f>
        <v/>
      </c>
      <c r="F42" s="17" t="str">
        <f>IF(B42="","",SUMIFS(Mișcări!$K$5:$K$2004,Mișcări!$D$5:$D$2004,B42,Mișcări!$B$5:$B$2004,"&lt;="&amp;Azi))</f>
        <v/>
      </c>
      <c r="G42" s="18" t="str">
        <f>IF(B42="","",IFERROR(SUMIFS(Mișcări!$L$5:$L$2004,Mișcări!$D$5:$D$2004,B42)/SUMIFS(Mișcări!$F$5:$F$2004,Mișcări!$D$5:$D$2004,B42,Mișcări!$J$5:$J$2004,1,Mișcări!$G$5:$G$2004,"&gt;0"),Produse!G42))</f>
        <v/>
      </c>
      <c r="H42" s="18" t="str">
        <f t="shared" si="5"/>
        <v/>
      </c>
      <c r="I42" s="21" t="str">
        <f>IF(B42="","",Produse!I42)</f>
        <v/>
      </c>
      <c r="J42" s="21" t="str">
        <f>IF(B42="","",Produse!J42)</f>
        <v/>
      </c>
      <c r="K42" s="21" t="str">
        <f>IF(B42="","",-SUMIFS(Mișcări!$K$5:$K$2004,Mișcări!$D$5:$D$2004,B42,Mișcări!$J$5:$J$2004,-1,Mișcări!$B$5:$B$2004,"&gt;"&amp;(Azi-ZileConsum),Mișcări!$B$5:$B$2004,"&lt;="&amp;Azi))</f>
        <v/>
      </c>
      <c r="L42" s="17" t="str">
        <f t="shared" si="6"/>
        <v/>
      </c>
      <c r="M42" s="11" t="str">
        <f t="shared" si="7"/>
        <v/>
      </c>
      <c r="N42" s="22" t="str">
        <f>IF(B42="","",IFERROR(_xlfn.AGGREGATE(14,6,Mișcări!$B$5:$B$2004/(Mișcări!$D$5:$D$2004=B42),1),""))</f>
        <v/>
      </c>
      <c r="O42" s="11" t="str">
        <f t="shared" si="8"/>
        <v/>
      </c>
      <c r="P42" s="21" t="str">
        <f t="shared" si="9"/>
        <v/>
      </c>
    </row>
    <row r="43" spans="2:16" x14ac:dyDescent="0.2">
      <c r="B43" s="11" t="str">
        <f>IF(Produse!B43="","",Produse!B43)</f>
        <v/>
      </c>
      <c r="C43" s="10" t="str">
        <f>IF(B43="","",Produse!C43)</f>
        <v/>
      </c>
      <c r="D43" s="10" t="str">
        <f>IF(B43="","",Produse!D43)</f>
        <v/>
      </c>
      <c r="E43" s="11" t="str">
        <f>IF(B43="","",Produse!E43)</f>
        <v/>
      </c>
      <c r="F43" s="17" t="str">
        <f>IF(B43="","",SUMIFS(Mișcări!$K$5:$K$2004,Mișcări!$D$5:$D$2004,B43,Mișcări!$B$5:$B$2004,"&lt;="&amp;Azi))</f>
        <v/>
      </c>
      <c r="G43" s="18" t="str">
        <f>IF(B43="","",IFERROR(SUMIFS(Mișcări!$L$5:$L$2004,Mișcări!$D$5:$D$2004,B43)/SUMIFS(Mișcări!$F$5:$F$2004,Mișcări!$D$5:$D$2004,B43,Mișcări!$J$5:$J$2004,1,Mișcări!$G$5:$G$2004,"&gt;0"),Produse!G43))</f>
        <v/>
      </c>
      <c r="H43" s="18" t="str">
        <f t="shared" si="5"/>
        <v/>
      </c>
      <c r="I43" s="21" t="str">
        <f>IF(B43="","",Produse!I43)</f>
        <v/>
      </c>
      <c r="J43" s="21" t="str">
        <f>IF(B43="","",Produse!J43)</f>
        <v/>
      </c>
      <c r="K43" s="21" t="str">
        <f>IF(B43="","",-SUMIFS(Mișcări!$K$5:$K$2004,Mișcări!$D$5:$D$2004,B43,Mișcări!$J$5:$J$2004,-1,Mișcări!$B$5:$B$2004,"&gt;"&amp;(Azi-ZileConsum),Mișcări!$B$5:$B$2004,"&lt;="&amp;Azi))</f>
        <v/>
      </c>
      <c r="L43" s="17" t="str">
        <f t="shared" si="6"/>
        <v/>
      </c>
      <c r="M43" s="11" t="str">
        <f t="shared" si="7"/>
        <v/>
      </c>
      <c r="N43" s="22" t="str">
        <f>IF(B43="","",IFERROR(_xlfn.AGGREGATE(14,6,Mișcări!$B$5:$B$2004/(Mișcări!$D$5:$D$2004=B43),1),""))</f>
        <v/>
      </c>
      <c r="O43" s="11" t="str">
        <f t="shared" si="8"/>
        <v/>
      </c>
      <c r="P43" s="21" t="str">
        <f t="shared" si="9"/>
        <v/>
      </c>
    </row>
    <row r="44" spans="2:16" x14ac:dyDescent="0.2">
      <c r="B44" s="11" t="str">
        <f>IF(Produse!B44="","",Produse!B44)</f>
        <v/>
      </c>
      <c r="C44" s="10" t="str">
        <f>IF(B44="","",Produse!C44)</f>
        <v/>
      </c>
      <c r="D44" s="10" t="str">
        <f>IF(B44="","",Produse!D44)</f>
        <v/>
      </c>
      <c r="E44" s="11" t="str">
        <f>IF(B44="","",Produse!E44)</f>
        <v/>
      </c>
      <c r="F44" s="17" t="str">
        <f>IF(B44="","",SUMIFS(Mișcări!$K$5:$K$2004,Mișcări!$D$5:$D$2004,B44,Mișcări!$B$5:$B$2004,"&lt;="&amp;Azi))</f>
        <v/>
      </c>
      <c r="G44" s="18" t="str">
        <f>IF(B44="","",IFERROR(SUMIFS(Mișcări!$L$5:$L$2004,Mișcări!$D$5:$D$2004,B44)/SUMIFS(Mișcări!$F$5:$F$2004,Mișcări!$D$5:$D$2004,B44,Mișcări!$J$5:$J$2004,1,Mișcări!$G$5:$G$2004,"&gt;0"),Produse!G44))</f>
        <v/>
      </c>
      <c r="H44" s="18" t="str">
        <f t="shared" si="5"/>
        <v/>
      </c>
      <c r="I44" s="21" t="str">
        <f>IF(B44="","",Produse!I44)</f>
        <v/>
      </c>
      <c r="J44" s="21" t="str">
        <f>IF(B44="","",Produse!J44)</f>
        <v/>
      </c>
      <c r="K44" s="21" t="str">
        <f>IF(B44="","",-SUMIFS(Mișcări!$K$5:$K$2004,Mișcări!$D$5:$D$2004,B44,Mișcări!$J$5:$J$2004,-1,Mișcări!$B$5:$B$2004,"&gt;"&amp;(Azi-ZileConsum),Mișcări!$B$5:$B$2004,"&lt;="&amp;Azi))</f>
        <v/>
      </c>
      <c r="L44" s="17" t="str">
        <f t="shared" si="6"/>
        <v/>
      </c>
      <c r="M44" s="11" t="str">
        <f t="shared" si="7"/>
        <v/>
      </c>
      <c r="N44" s="22" t="str">
        <f>IF(B44="","",IFERROR(_xlfn.AGGREGATE(14,6,Mișcări!$B$5:$B$2004/(Mișcări!$D$5:$D$2004=B44),1),""))</f>
        <v/>
      </c>
      <c r="O44" s="11" t="str">
        <f t="shared" si="8"/>
        <v/>
      </c>
      <c r="P44" s="21" t="str">
        <f t="shared" si="9"/>
        <v/>
      </c>
    </row>
    <row r="45" spans="2:16" x14ac:dyDescent="0.2">
      <c r="B45" s="11" t="str">
        <f>IF(Produse!B45="","",Produse!B45)</f>
        <v/>
      </c>
      <c r="C45" s="10" t="str">
        <f>IF(B45="","",Produse!C45)</f>
        <v/>
      </c>
      <c r="D45" s="10" t="str">
        <f>IF(B45="","",Produse!D45)</f>
        <v/>
      </c>
      <c r="E45" s="11" t="str">
        <f>IF(B45="","",Produse!E45)</f>
        <v/>
      </c>
      <c r="F45" s="17" t="str">
        <f>IF(B45="","",SUMIFS(Mișcări!$K$5:$K$2004,Mișcări!$D$5:$D$2004,B45,Mișcări!$B$5:$B$2004,"&lt;="&amp;Azi))</f>
        <v/>
      </c>
      <c r="G45" s="18" t="str">
        <f>IF(B45="","",IFERROR(SUMIFS(Mișcări!$L$5:$L$2004,Mișcări!$D$5:$D$2004,B45)/SUMIFS(Mișcări!$F$5:$F$2004,Mișcări!$D$5:$D$2004,B45,Mișcări!$J$5:$J$2004,1,Mișcări!$G$5:$G$2004,"&gt;0"),Produse!G45))</f>
        <v/>
      </c>
      <c r="H45" s="18" t="str">
        <f t="shared" si="5"/>
        <v/>
      </c>
      <c r="I45" s="21" t="str">
        <f>IF(B45="","",Produse!I45)</f>
        <v/>
      </c>
      <c r="J45" s="21" t="str">
        <f>IF(B45="","",Produse!J45)</f>
        <v/>
      </c>
      <c r="K45" s="21" t="str">
        <f>IF(B45="","",-SUMIFS(Mișcări!$K$5:$K$2004,Mișcări!$D$5:$D$2004,B45,Mișcări!$J$5:$J$2004,-1,Mișcări!$B$5:$B$2004,"&gt;"&amp;(Azi-ZileConsum),Mișcări!$B$5:$B$2004,"&lt;="&amp;Azi))</f>
        <v/>
      </c>
      <c r="L45" s="17" t="str">
        <f t="shared" si="6"/>
        <v/>
      </c>
      <c r="M45" s="11" t="str">
        <f t="shared" si="7"/>
        <v/>
      </c>
      <c r="N45" s="22" t="str">
        <f>IF(B45="","",IFERROR(_xlfn.AGGREGATE(14,6,Mișcări!$B$5:$B$2004/(Mișcări!$D$5:$D$2004=B45),1),""))</f>
        <v/>
      </c>
      <c r="O45" s="11" t="str">
        <f t="shared" si="8"/>
        <v/>
      </c>
      <c r="P45" s="21" t="str">
        <f t="shared" si="9"/>
        <v/>
      </c>
    </row>
    <row r="46" spans="2:16" x14ac:dyDescent="0.2">
      <c r="B46" s="11" t="str">
        <f>IF(Produse!B46="","",Produse!B46)</f>
        <v/>
      </c>
      <c r="C46" s="10" t="str">
        <f>IF(B46="","",Produse!C46)</f>
        <v/>
      </c>
      <c r="D46" s="10" t="str">
        <f>IF(B46="","",Produse!D46)</f>
        <v/>
      </c>
      <c r="E46" s="11" t="str">
        <f>IF(B46="","",Produse!E46)</f>
        <v/>
      </c>
      <c r="F46" s="17" t="str">
        <f>IF(B46="","",SUMIFS(Mișcări!$K$5:$K$2004,Mișcări!$D$5:$D$2004,B46,Mișcări!$B$5:$B$2004,"&lt;="&amp;Azi))</f>
        <v/>
      </c>
      <c r="G46" s="18" t="str">
        <f>IF(B46="","",IFERROR(SUMIFS(Mișcări!$L$5:$L$2004,Mișcări!$D$5:$D$2004,B46)/SUMIFS(Mișcări!$F$5:$F$2004,Mișcări!$D$5:$D$2004,B46,Mișcări!$J$5:$J$2004,1,Mișcări!$G$5:$G$2004,"&gt;0"),Produse!G46))</f>
        <v/>
      </c>
      <c r="H46" s="18" t="str">
        <f t="shared" si="5"/>
        <v/>
      </c>
      <c r="I46" s="21" t="str">
        <f>IF(B46="","",Produse!I46)</f>
        <v/>
      </c>
      <c r="J46" s="21" t="str">
        <f>IF(B46="","",Produse!J46)</f>
        <v/>
      </c>
      <c r="K46" s="21" t="str">
        <f>IF(B46="","",-SUMIFS(Mișcări!$K$5:$K$2004,Mișcări!$D$5:$D$2004,B46,Mișcări!$J$5:$J$2004,-1,Mișcări!$B$5:$B$2004,"&gt;"&amp;(Azi-ZileConsum),Mișcări!$B$5:$B$2004,"&lt;="&amp;Azi))</f>
        <v/>
      </c>
      <c r="L46" s="17" t="str">
        <f t="shared" si="6"/>
        <v/>
      </c>
      <c r="M46" s="11" t="str">
        <f t="shared" si="7"/>
        <v/>
      </c>
      <c r="N46" s="22" t="str">
        <f>IF(B46="","",IFERROR(_xlfn.AGGREGATE(14,6,Mișcări!$B$5:$B$2004/(Mișcări!$D$5:$D$2004=B46),1),""))</f>
        <v/>
      </c>
      <c r="O46" s="11" t="str">
        <f t="shared" si="8"/>
        <v/>
      </c>
      <c r="P46" s="21" t="str">
        <f t="shared" si="9"/>
        <v/>
      </c>
    </row>
    <row r="47" spans="2:16" x14ac:dyDescent="0.2">
      <c r="B47" s="11" t="str">
        <f>IF(Produse!B47="","",Produse!B47)</f>
        <v/>
      </c>
      <c r="C47" s="10" t="str">
        <f>IF(B47="","",Produse!C47)</f>
        <v/>
      </c>
      <c r="D47" s="10" t="str">
        <f>IF(B47="","",Produse!D47)</f>
        <v/>
      </c>
      <c r="E47" s="11" t="str">
        <f>IF(B47="","",Produse!E47)</f>
        <v/>
      </c>
      <c r="F47" s="17" t="str">
        <f>IF(B47="","",SUMIFS(Mișcări!$K$5:$K$2004,Mișcări!$D$5:$D$2004,B47,Mișcări!$B$5:$B$2004,"&lt;="&amp;Azi))</f>
        <v/>
      </c>
      <c r="G47" s="18" t="str">
        <f>IF(B47="","",IFERROR(SUMIFS(Mișcări!$L$5:$L$2004,Mișcări!$D$5:$D$2004,B47)/SUMIFS(Mișcări!$F$5:$F$2004,Mișcări!$D$5:$D$2004,B47,Mișcări!$J$5:$J$2004,1,Mișcări!$G$5:$G$2004,"&gt;0"),Produse!G47))</f>
        <v/>
      </c>
      <c r="H47" s="18" t="str">
        <f t="shared" si="5"/>
        <v/>
      </c>
      <c r="I47" s="21" t="str">
        <f>IF(B47="","",Produse!I47)</f>
        <v/>
      </c>
      <c r="J47" s="21" t="str">
        <f>IF(B47="","",Produse!J47)</f>
        <v/>
      </c>
      <c r="K47" s="21" t="str">
        <f>IF(B47="","",-SUMIFS(Mișcări!$K$5:$K$2004,Mișcări!$D$5:$D$2004,B47,Mișcări!$J$5:$J$2004,-1,Mișcări!$B$5:$B$2004,"&gt;"&amp;(Azi-ZileConsum),Mișcări!$B$5:$B$2004,"&lt;="&amp;Azi))</f>
        <v/>
      </c>
      <c r="L47" s="17" t="str">
        <f t="shared" si="6"/>
        <v/>
      </c>
      <c r="M47" s="11" t="str">
        <f t="shared" si="7"/>
        <v/>
      </c>
      <c r="N47" s="22" t="str">
        <f>IF(B47="","",IFERROR(_xlfn.AGGREGATE(14,6,Mișcări!$B$5:$B$2004/(Mișcări!$D$5:$D$2004=B47),1),""))</f>
        <v/>
      </c>
      <c r="O47" s="11" t="str">
        <f t="shared" si="8"/>
        <v/>
      </c>
      <c r="P47" s="21" t="str">
        <f t="shared" si="9"/>
        <v/>
      </c>
    </row>
    <row r="48" spans="2:16" x14ac:dyDescent="0.2">
      <c r="B48" s="11" t="str">
        <f>IF(Produse!B48="","",Produse!B48)</f>
        <v/>
      </c>
      <c r="C48" s="10" t="str">
        <f>IF(B48="","",Produse!C48)</f>
        <v/>
      </c>
      <c r="D48" s="10" t="str">
        <f>IF(B48="","",Produse!D48)</f>
        <v/>
      </c>
      <c r="E48" s="11" t="str">
        <f>IF(B48="","",Produse!E48)</f>
        <v/>
      </c>
      <c r="F48" s="17" t="str">
        <f>IF(B48="","",SUMIFS(Mișcări!$K$5:$K$2004,Mișcări!$D$5:$D$2004,B48,Mișcări!$B$5:$B$2004,"&lt;="&amp;Azi))</f>
        <v/>
      </c>
      <c r="G48" s="18" t="str">
        <f>IF(B48="","",IFERROR(SUMIFS(Mișcări!$L$5:$L$2004,Mișcări!$D$5:$D$2004,B48)/SUMIFS(Mișcări!$F$5:$F$2004,Mișcări!$D$5:$D$2004,B48,Mișcări!$J$5:$J$2004,1,Mișcări!$G$5:$G$2004,"&gt;0"),Produse!G48))</f>
        <v/>
      </c>
      <c r="H48" s="18" t="str">
        <f t="shared" si="5"/>
        <v/>
      </c>
      <c r="I48" s="21" t="str">
        <f>IF(B48="","",Produse!I48)</f>
        <v/>
      </c>
      <c r="J48" s="21" t="str">
        <f>IF(B48="","",Produse!J48)</f>
        <v/>
      </c>
      <c r="K48" s="21" t="str">
        <f>IF(B48="","",-SUMIFS(Mișcări!$K$5:$K$2004,Mișcări!$D$5:$D$2004,B48,Mișcări!$J$5:$J$2004,-1,Mișcări!$B$5:$B$2004,"&gt;"&amp;(Azi-ZileConsum),Mișcări!$B$5:$B$2004,"&lt;="&amp;Azi))</f>
        <v/>
      </c>
      <c r="L48" s="17" t="str">
        <f t="shared" si="6"/>
        <v/>
      </c>
      <c r="M48" s="11" t="str">
        <f t="shared" si="7"/>
        <v/>
      </c>
      <c r="N48" s="22" t="str">
        <f>IF(B48="","",IFERROR(_xlfn.AGGREGATE(14,6,Mișcări!$B$5:$B$2004/(Mișcări!$D$5:$D$2004=B48),1),""))</f>
        <v/>
      </c>
      <c r="O48" s="11" t="str">
        <f t="shared" si="8"/>
        <v/>
      </c>
      <c r="P48" s="21" t="str">
        <f t="shared" si="9"/>
        <v/>
      </c>
    </row>
    <row r="49" spans="2:16" x14ac:dyDescent="0.2">
      <c r="B49" s="11" t="str">
        <f>IF(Produse!B49="","",Produse!B49)</f>
        <v/>
      </c>
      <c r="C49" s="10" t="str">
        <f>IF(B49="","",Produse!C49)</f>
        <v/>
      </c>
      <c r="D49" s="10" t="str">
        <f>IF(B49="","",Produse!D49)</f>
        <v/>
      </c>
      <c r="E49" s="11" t="str">
        <f>IF(B49="","",Produse!E49)</f>
        <v/>
      </c>
      <c r="F49" s="17" t="str">
        <f>IF(B49="","",SUMIFS(Mișcări!$K$5:$K$2004,Mișcări!$D$5:$D$2004,B49,Mișcări!$B$5:$B$2004,"&lt;="&amp;Azi))</f>
        <v/>
      </c>
      <c r="G49" s="18" t="str">
        <f>IF(B49="","",IFERROR(SUMIFS(Mișcări!$L$5:$L$2004,Mișcări!$D$5:$D$2004,B49)/SUMIFS(Mișcări!$F$5:$F$2004,Mișcări!$D$5:$D$2004,B49,Mișcări!$J$5:$J$2004,1,Mișcări!$G$5:$G$2004,"&gt;0"),Produse!G49))</f>
        <v/>
      </c>
      <c r="H49" s="18" t="str">
        <f t="shared" si="5"/>
        <v/>
      </c>
      <c r="I49" s="21" t="str">
        <f>IF(B49="","",Produse!I49)</f>
        <v/>
      </c>
      <c r="J49" s="21" t="str">
        <f>IF(B49="","",Produse!J49)</f>
        <v/>
      </c>
      <c r="K49" s="21" t="str">
        <f>IF(B49="","",-SUMIFS(Mișcări!$K$5:$K$2004,Mișcări!$D$5:$D$2004,B49,Mișcări!$J$5:$J$2004,-1,Mișcări!$B$5:$B$2004,"&gt;"&amp;(Azi-ZileConsum),Mișcări!$B$5:$B$2004,"&lt;="&amp;Azi))</f>
        <v/>
      </c>
      <c r="L49" s="17" t="str">
        <f t="shared" si="6"/>
        <v/>
      </c>
      <c r="M49" s="11" t="str">
        <f t="shared" si="7"/>
        <v/>
      </c>
      <c r="N49" s="22" t="str">
        <f>IF(B49="","",IFERROR(_xlfn.AGGREGATE(14,6,Mișcări!$B$5:$B$2004/(Mișcări!$D$5:$D$2004=B49),1),""))</f>
        <v/>
      </c>
      <c r="O49" s="11" t="str">
        <f t="shared" si="8"/>
        <v/>
      </c>
      <c r="P49" s="21" t="str">
        <f t="shared" si="9"/>
        <v/>
      </c>
    </row>
    <row r="50" spans="2:16" x14ac:dyDescent="0.2">
      <c r="B50" s="11" t="str">
        <f>IF(Produse!B50="","",Produse!B50)</f>
        <v/>
      </c>
      <c r="C50" s="10" t="str">
        <f>IF(B50="","",Produse!C50)</f>
        <v/>
      </c>
      <c r="D50" s="10" t="str">
        <f>IF(B50="","",Produse!D50)</f>
        <v/>
      </c>
      <c r="E50" s="11" t="str">
        <f>IF(B50="","",Produse!E50)</f>
        <v/>
      </c>
      <c r="F50" s="17" t="str">
        <f>IF(B50="","",SUMIFS(Mișcări!$K$5:$K$2004,Mișcări!$D$5:$D$2004,B50,Mișcări!$B$5:$B$2004,"&lt;="&amp;Azi))</f>
        <v/>
      </c>
      <c r="G50" s="18" t="str">
        <f>IF(B50="","",IFERROR(SUMIFS(Mișcări!$L$5:$L$2004,Mișcări!$D$5:$D$2004,B50)/SUMIFS(Mișcări!$F$5:$F$2004,Mișcări!$D$5:$D$2004,B50,Mișcări!$J$5:$J$2004,1,Mișcări!$G$5:$G$2004,"&gt;0"),Produse!G50))</f>
        <v/>
      </c>
      <c r="H50" s="18" t="str">
        <f t="shared" si="5"/>
        <v/>
      </c>
      <c r="I50" s="21" t="str">
        <f>IF(B50="","",Produse!I50)</f>
        <v/>
      </c>
      <c r="J50" s="21" t="str">
        <f>IF(B50="","",Produse!J50)</f>
        <v/>
      </c>
      <c r="K50" s="21" t="str">
        <f>IF(B50="","",-SUMIFS(Mișcări!$K$5:$K$2004,Mișcări!$D$5:$D$2004,B50,Mișcări!$J$5:$J$2004,-1,Mișcări!$B$5:$B$2004,"&gt;"&amp;(Azi-ZileConsum),Mișcări!$B$5:$B$2004,"&lt;="&amp;Azi))</f>
        <v/>
      </c>
      <c r="L50" s="17" t="str">
        <f t="shared" si="6"/>
        <v/>
      </c>
      <c r="M50" s="11" t="str">
        <f t="shared" si="7"/>
        <v/>
      </c>
      <c r="N50" s="22" t="str">
        <f>IF(B50="","",IFERROR(_xlfn.AGGREGATE(14,6,Mișcări!$B$5:$B$2004/(Mișcări!$D$5:$D$2004=B50),1),""))</f>
        <v/>
      </c>
      <c r="O50" s="11" t="str">
        <f t="shared" si="8"/>
        <v/>
      </c>
      <c r="P50" s="21" t="str">
        <f t="shared" si="9"/>
        <v/>
      </c>
    </row>
    <row r="51" spans="2:16" x14ac:dyDescent="0.2">
      <c r="B51" s="11" t="str">
        <f>IF(Produse!B51="","",Produse!B51)</f>
        <v/>
      </c>
      <c r="C51" s="10" t="str">
        <f>IF(B51="","",Produse!C51)</f>
        <v/>
      </c>
      <c r="D51" s="10" t="str">
        <f>IF(B51="","",Produse!D51)</f>
        <v/>
      </c>
      <c r="E51" s="11" t="str">
        <f>IF(B51="","",Produse!E51)</f>
        <v/>
      </c>
      <c r="F51" s="17" t="str">
        <f>IF(B51="","",SUMIFS(Mișcări!$K$5:$K$2004,Mișcări!$D$5:$D$2004,B51,Mișcări!$B$5:$B$2004,"&lt;="&amp;Azi))</f>
        <v/>
      </c>
      <c r="G51" s="18" t="str">
        <f>IF(B51="","",IFERROR(SUMIFS(Mișcări!$L$5:$L$2004,Mișcări!$D$5:$D$2004,B51)/SUMIFS(Mișcări!$F$5:$F$2004,Mișcări!$D$5:$D$2004,B51,Mișcări!$J$5:$J$2004,1,Mișcări!$G$5:$G$2004,"&gt;0"),Produse!G51))</f>
        <v/>
      </c>
      <c r="H51" s="18" t="str">
        <f t="shared" si="5"/>
        <v/>
      </c>
      <c r="I51" s="21" t="str">
        <f>IF(B51="","",Produse!I51)</f>
        <v/>
      </c>
      <c r="J51" s="21" t="str">
        <f>IF(B51="","",Produse!J51)</f>
        <v/>
      </c>
      <c r="K51" s="21" t="str">
        <f>IF(B51="","",-SUMIFS(Mișcări!$K$5:$K$2004,Mișcări!$D$5:$D$2004,B51,Mișcări!$J$5:$J$2004,-1,Mișcări!$B$5:$B$2004,"&gt;"&amp;(Azi-ZileConsum),Mișcări!$B$5:$B$2004,"&lt;="&amp;Azi))</f>
        <v/>
      </c>
      <c r="L51" s="17" t="str">
        <f t="shared" si="6"/>
        <v/>
      </c>
      <c r="M51" s="11" t="str">
        <f t="shared" si="7"/>
        <v/>
      </c>
      <c r="N51" s="22" t="str">
        <f>IF(B51="","",IFERROR(_xlfn.AGGREGATE(14,6,Mișcări!$B$5:$B$2004/(Mișcări!$D$5:$D$2004=B51),1),""))</f>
        <v/>
      </c>
      <c r="O51" s="11" t="str">
        <f t="shared" si="8"/>
        <v/>
      </c>
      <c r="P51" s="21" t="str">
        <f t="shared" si="9"/>
        <v/>
      </c>
    </row>
    <row r="52" spans="2:16" x14ac:dyDescent="0.2">
      <c r="B52" s="11" t="str">
        <f>IF(Produse!B52="","",Produse!B52)</f>
        <v/>
      </c>
      <c r="C52" s="10" t="str">
        <f>IF(B52="","",Produse!C52)</f>
        <v/>
      </c>
      <c r="D52" s="10" t="str">
        <f>IF(B52="","",Produse!D52)</f>
        <v/>
      </c>
      <c r="E52" s="11" t="str">
        <f>IF(B52="","",Produse!E52)</f>
        <v/>
      </c>
      <c r="F52" s="17" t="str">
        <f>IF(B52="","",SUMIFS(Mișcări!$K$5:$K$2004,Mișcări!$D$5:$D$2004,B52,Mișcări!$B$5:$B$2004,"&lt;="&amp;Azi))</f>
        <v/>
      </c>
      <c r="G52" s="18" t="str">
        <f>IF(B52="","",IFERROR(SUMIFS(Mișcări!$L$5:$L$2004,Mișcări!$D$5:$D$2004,B52)/SUMIFS(Mișcări!$F$5:$F$2004,Mișcări!$D$5:$D$2004,B52,Mișcări!$J$5:$J$2004,1,Mișcări!$G$5:$G$2004,"&gt;0"),Produse!G52))</f>
        <v/>
      </c>
      <c r="H52" s="18" t="str">
        <f t="shared" si="5"/>
        <v/>
      </c>
      <c r="I52" s="21" t="str">
        <f>IF(B52="","",Produse!I52)</f>
        <v/>
      </c>
      <c r="J52" s="21" t="str">
        <f>IF(B52="","",Produse!J52)</f>
        <v/>
      </c>
      <c r="K52" s="21" t="str">
        <f>IF(B52="","",-SUMIFS(Mișcări!$K$5:$K$2004,Mișcări!$D$5:$D$2004,B52,Mișcări!$J$5:$J$2004,-1,Mișcări!$B$5:$B$2004,"&gt;"&amp;(Azi-ZileConsum),Mișcări!$B$5:$B$2004,"&lt;="&amp;Azi))</f>
        <v/>
      </c>
      <c r="L52" s="17" t="str">
        <f t="shared" si="6"/>
        <v/>
      </c>
      <c r="M52" s="11" t="str">
        <f t="shared" si="7"/>
        <v/>
      </c>
      <c r="N52" s="22" t="str">
        <f>IF(B52="","",IFERROR(_xlfn.AGGREGATE(14,6,Mișcări!$B$5:$B$2004/(Mișcări!$D$5:$D$2004=B52),1),""))</f>
        <v/>
      </c>
      <c r="O52" s="11" t="str">
        <f t="shared" si="8"/>
        <v/>
      </c>
      <c r="P52" s="21" t="str">
        <f t="shared" si="9"/>
        <v/>
      </c>
    </row>
    <row r="53" spans="2:16" x14ac:dyDescent="0.2">
      <c r="B53" s="11" t="str">
        <f>IF(Produse!B53="","",Produse!B53)</f>
        <v/>
      </c>
      <c r="C53" s="10" t="str">
        <f>IF(B53="","",Produse!C53)</f>
        <v/>
      </c>
      <c r="D53" s="10" t="str">
        <f>IF(B53="","",Produse!D53)</f>
        <v/>
      </c>
      <c r="E53" s="11" t="str">
        <f>IF(B53="","",Produse!E53)</f>
        <v/>
      </c>
      <c r="F53" s="17" t="str">
        <f>IF(B53="","",SUMIFS(Mișcări!$K$5:$K$2004,Mișcări!$D$5:$D$2004,B53,Mișcări!$B$5:$B$2004,"&lt;="&amp;Azi))</f>
        <v/>
      </c>
      <c r="G53" s="18" t="str">
        <f>IF(B53="","",IFERROR(SUMIFS(Mișcări!$L$5:$L$2004,Mișcări!$D$5:$D$2004,B53)/SUMIFS(Mișcări!$F$5:$F$2004,Mișcări!$D$5:$D$2004,B53,Mișcări!$J$5:$J$2004,1,Mișcări!$G$5:$G$2004,"&gt;0"),Produse!G53))</f>
        <v/>
      </c>
      <c r="H53" s="18" t="str">
        <f t="shared" si="5"/>
        <v/>
      </c>
      <c r="I53" s="21" t="str">
        <f>IF(B53="","",Produse!I53)</f>
        <v/>
      </c>
      <c r="J53" s="21" t="str">
        <f>IF(B53="","",Produse!J53)</f>
        <v/>
      </c>
      <c r="K53" s="21" t="str">
        <f>IF(B53="","",-SUMIFS(Mișcări!$K$5:$K$2004,Mișcări!$D$5:$D$2004,B53,Mișcări!$J$5:$J$2004,-1,Mișcări!$B$5:$B$2004,"&gt;"&amp;(Azi-ZileConsum),Mișcări!$B$5:$B$2004,"&lt;="&amp;Azi))</f>
        <v/>
      </c>
      <c r="L53" s="17" t="str">
        <f t="shared" si="6"/>
        <v/>
      </c>
      <c r="M53" s="11" t="str">
        <f t="shared" si="7"/>
        <v/>
      </c>
      <c r="N53" s="22" t="str">
        <f>IF(B53="","",IFERROR(_xlfn.AGGREGATE(14,6,Mișcări!$B$5:$B$2004/(Mișcări!$D$5:$D$2004=B53),1),""))</f>
        <v/>
      </c>
      <c r="O53" s="11" t="str">
        <f t="shared" si="8"/>
        <v/>
      </c>
      <c r="P53" s="21" t="str">
        <f t="shared" si="9"/>
        <v/>
      </c>
    </row>
    <row r="54" spans="2:16" x14ac:dyDescent="0.2">
      <c r="B54" s="11" t="str">
        <f>IF(Produse!B54="","",Produse!B54)</f>
        <v/>
      </c>
      <c r="C54" s="10" t="str">
        <f>IF(B54="","",Produse!C54)</f>
        <v/>
      </c>
      <c r="D54" s="10" t="str">
        <f>IF(B54="","",Produse!D54)</f>
        <v/>
      </c>
      <c r="E54" s="11" t="str">
        <f>IF(B54="","",Produse!E54)</f>
        <v/>
      </c>
      <c r="F54" s="17" t="str">
        <f>IF(B54="","",SUMIFS(Mișcări!$K$5:$K$2004,Mișcări!$D$5:$D$2004,B54,Mișcări!$B$5:$B$2004,"&lt;="&amp;Azi))</f>
        <v/>
      </c>
      <c r="G54" s="18" t="str">
        <f>IF(B54="","",IFERROR(SUMIFS(Mișcări!$L$5:$L$2004,Mișcări!$D$5:$D$2004,B54)/SUMIFS(Mișcări!$F$5:$F$2004,Mișcări!$D$5:$D$2004,B54,Mișcări!$J$5:$J$2004,1,Mișcări!$G$5:$G$2004,"&gt;0"),Produse!G54))</f>
        <v/>
      </c>
      <c r="H54" s="18" t="str">
        <f t="shared" si="5"/>
        <v/>
      </c>
      <c r="I54" s="21" t="str">
        <f>IF(B54="","",Produse!I54)</f>
        <v/>
      </c>
      <c r="J54" s="21" t="str">
        <f>IF(B54="","",Produse!J54)</f>
        <v/>
      </c>
      <c r="K54" s="21" t="str">
        <f>IF(B54="","",-SUMIFS(Mișcări!$K$5:$K$2004,Mișcări!$D$5:$D$2004,B54,Mișcări!$J$5:$J$2004,-1,Mișcări!$B$5:$B$2004,"&gt;"&amp;(Azi-ZileConsum),Mișcări!$B$5:$B$2004,"&lt;="&amp;Azi))</f>
        <v/>
      </c>
      <c r="L54" s="17" t="str">
        <f t="shared" si="6"/>
        <v/>
      </c>
      <c r="M54" s="11" t="str">
        <f t="shared" si="7"/>
        <v/>
      </c>
      <c r="N54" s="22" t="str">
        <f>IF(B54="","",IFERROR(_xlfn.AGGREGATE(14,6,Mișcări!$B$5:$B$2004/(Mișcări!$D$5:$D$2004=B54),1),""))</f>
        <v/>
      </c>
      <c r="O54" s="11" t="str">
        <f t="shared" si="8"/>
        <v/>
      </c>
      <c r="P54" s="21" t="str">
        <f t="shared" si="9"/>
        <v/>
      </c>
    </row>
    <row r="55" spans="2:16" x14ac:dyDescent="0.2">
      <c r="B55" s="11" t="str">
        <f>IF(Produse!B55="","",Produse!B55)</f>
        <v/>
      </c>
      <c r="C55" s="10" t="str">
        <f>IF(B55="","",Produse!C55)</f>
        <v/>
      </c>
      <c r="D55" s="10" t="str">
        <f>IF(B55="","",Produse!D55)</f>
        <v/>
      </c>
      <c r="E55" s="11" t="str">
        <f>IF(B55="","",Produse!E55)</f>
        <v/>
      </c>
      <c r="F55" s="17" t="str">
        <f>IF(B55="","",SUMIFS(Mișcări!$K$5:$K$2004,Mișcări!$D$5:$D$2004,B55,Mișcări!$B$5:$B$2004,"&lt;="&amp;Azi))</f>
        <v/>
      </c>
      <c r="G55" s="18" t="str">
        <f>IF(B55="","",IFERROR(SUMIFS(Mișcări!$L$5:$L$2004,Mișcări!$D$5:$D$2004,B55)/SUMIFS(Mișcări!$F$5:$F$2004,Mișcări!$D$5:$D$2004,B55,Mișcări!$J$5:$J$2004,1,Mișcări!$G$5:$G$2004,"&gt;0"),Produse!G55))</f>
        <v/>
      </c>
      <c r="H55" s="18" t="str">
        <f t="shared" si="5"/>
        <v/>
      </c>
      <c r="I55" s="21" t="str">
        <f>IF(B55="","",Produse!I55)</f>
        <v/>
      </c>
      <c r="J55" s="21" t="str">
        <f>IF(B55="","",Produse!J55)</f>
        <v/>
      </c>
      <c r="K55" s="21" t="str">
        <f>IF(B55="","",-SUMIFS(Mișcări!$K$5:$K$2004,Mișcări!$D$5:$D$2004,B55,Mișcări!$J$5:$J$2004,-1,Mișcări!$B$5:$B$2004,"&gt;"&amp;(Azi-ZileConsum),Mișcări!$B$5:$B$2004,"&lt;="&amp;Azi))</f>
        <v/>
      </c>
      <c r="L55" s="17" t="str">
        <f t="shared" si="6"/>
        <v/>
      </c>
      <c r="M55" s="11" t="str">
        <f t="shared" si="7"/>
        <v/>
      </c>
      <c r="N55" s="22" t="str">
        <f>IF(B55="","",IFERROR(_xlfn.AGGREGATE(14,6,Mișcări!$B$5:$B$2004/(Mișcări!$D$5:$D$2004=B55),1),""))</f>
        <v/>
      </c>
      <c r="O55" s="11" t="str">
        <f t="shared" si="8"/>
        <v/>
      </c>
      <c r="P55" s="21" t="str">
        <f t="shared" si="9"/>
        <v/>
      </c>
    </row>
    <row r="56" spans="2:16" x14ac:dyDescent="0.2">
      <c r="B56" s="11" t="str">
        <f>IF(Produse!B56="","",Produse!B56)</f>
        <v/>
      </c>
      <c r="C56" s="10" t="str">
        <f>IF(B56="","",Produse!C56)</f>
        <v/>
      </c>
      <c r="D56" s="10" t="str">
        <f>IF(B56="","",Produse!D56)</f>
        <v/>
      </c>
      <c r="E56" s="11" t="str">
        <f>IF(B56="","",Produse!E56)</f>
        <v/>
      </c>
      <c r="F56" s="17" t="str">
        <f>IF(B56="","",SUMIFS(Mișcări!$K$5:$K$2004,Mișcări!$D$5:$D$2004,B56,Mișcări!$B$5:$B$2004,"&lt;="&amp;Azi))</f>
        <v/>
      </c>
      <c r="G56" s="18" t="str">
        <f>IF(B56="","",IFERROR(SUMIFS(Mișcări!$L$5:$L$2004,Mișcări!$D$5:$D$2004,B56)/SUMIFS(Mișcări!$F$5:$F$2004,Mișcări!$D$5:$D$2004,B56,Mișcări!$J$5:$J$2004,1,Mișcări!$G$5:$G$2004,"&gt;0"),Produse!G56))</f>
        <v/>
      </c>
      <c r="H56" s="18" t="str">
        <f t="shared" si="5"/>
        <v/>
      </c>
      <c r="I56" s="21" t="str">
        <f>IF(B56="","",Produse!I56)</f>
        <v/>
      </c>
      <c r="J56" s="21" t="str">
        <f>IF(B56="","",Produse!J56)</f>
        <v/>
      </c>
      <c r="K56" s="21" t="str">
        <f>IF(B56="","",-SUMIFS(Mișcări!$K$5:$K$2004,Mișcări!$D$5:$D$2004,B56,Mișcări!$J$5:$J$2004,-1,Mișcări!$B$5:$B$2004,"&gt;"&amp;(Azi-ZileConsum),Mișcări!$B$5:$B$2004,"&lt;="&amp;Azi))</f>
        <v/>
      </c>
      <c r="L56" s="17" t="str">
        <f t="shared" si="6"/>
        <v/>
      </c>
      <c r="M56" s="11" t="str">
        <f t="shared" si="7"/>
        <v/>
      </c>
      <c r="N56" s="22" t="str">
        <f>IF(B56="","",IFERROR(_xlfn.AGGREGATE(14,6,Mișcări!$B$5:$B$2004/(Mișcări!$D$5:$D$2004=B56),1),""))</f>
        <v/>
      </c>
      <c r="O56" s="11" t="str">
        <f t="shared" si="8"/>
        <v/>
      </c>
      <c r="P56" s="21" t="str">
        <f t="shared" si="9"/>
        <v/>
      </c>
    </row>
    <row r="57" spans="2:16" x14ac:dyDescent="0.2">
      <c r="B57" s="11" t="str">
        <f>IF(Produse!B57="","",Produse!B57)</f>
        <v/>
      </c>
      <c r="C57" s="10" t="str">
        <f>IF(B57="","",Produse!C57)</f>
        <v/>
      </c>
      <c r="D57" s="10" t="str">
        <f>IF(B57="","",Produse!D57)</f>
        <v/>
      </c>
      <c r="E57" s="11" t="str">
        <f>IF(B57="","",Produse!E57)</f>
        <v/>
      </c>
      <c r="F57" s="17" t="str">
        <f>IF(B57="","",SUMIFS(Mișcări!$K$5:$K$2004,Mișcări!$D$5:$D$2004,B57,Mișcări!$B$5:$B$2004,"&lt;="&amp;Azi))</f>
        <v/>
      </c>
      <c r="G57" s="18" t="str">
        <f>IF(B57="","",IFERROR(SUMIFS(Mișcări!$L$5:$L$2004,Mișcări!$D$5:$D$2004,B57)/SUMIFS(Mișcări!$F$5:$F$2004,Mișcări!$D$5:$D$2004,B57,Mișcări!$J$5:$J$2004,1,Mișcări!$G$5:$G$2004,"&gt;0"),Produse!G57))</f>
        <v/>
      </c>
      <c r="H57" s="18" t="str">
        <f t="shared" si="5"/>
        <v/>
      </c>
      <c r="I57" s="21" t="str">
        <f>IF(B57="","",Produse!I57)</f>
        <v/>
      </c>
      <c r="J57" s="21" t="str">
        <f>IF(B57="","",Produse!J57)</f>
        <v/>
      </c>
      <c r="K57" s="21" t="str">
        <f>IF(B57="","",-SUMIFS(Mișcări!$K$5:$K$2004,Mișcări!$D$5:$D$2004,B57,Mișcări!$J$5:$J$2004,-1,Mișcări!$B$5:$B$2004,"&gt;"&amp;(Azi-ZileConsum),Mișcări!$B$5:$B$2004,"&lt;="&amp;Azi))</f>
        <v/>
      </c>
      <c r="L57" s="17" t="str">
        <f t="shared" si="6"/>
        <v/>
      </c>
      <c r="M57" s="11" t="str">
        <f t="shared" si="7"/>
        <v/>
      </c>
      <c r="N57" s="22" t="str">
        <f>IF(B57="","",IFERROR(_xlfn.AGGREGATE(14,6,Mișcări!$B$5:$B$2004/(Mișcări!$D$5:$D$2004=B57),1),""))</f>
        <v/>
      </c>
      <c r="O57" s="11" t="str">
        <f t="shared" si="8"/>
        <v/>
      </c>
      <c r="P57" s="21" t="str">
        <f t="shared" si="9"/>
        <v/>
      </c>
    </row>
    <row r="58" spans="2:16" x14ac:dyDescent="0.2">
      <c r="B58" s="11" t="str">
        <f>IF(Produse!B58="","",Produse!B58)</f>
        <v/>
      </c>
      <c r="C58" s="10" t="str">
        <f>IF(B58="","",Produse!C58)</f>
        <v/>
      </c>
      <c r="D58" s="10" t="str">
        <f>IF(B58="","",Produse!D58)</f>
        <v/>
      </c>
      <c r="E58" s="11" t="str">
        <f>IF(B58="","",Produse!E58)</f>
        <v/>
      </c>
      <c r="F58" s="17" t="str">
        <f>IF(B58="","",SUMIFS(Mișcări!$K$5:$K$2004,Mișcări!$D$5:$D$2004,B58,Mișcări!$B$5:$B$2004,"&lt;="&amp;Azi))</f>
        <v/>
      </c>
      <c r="G58" s="18" t="str">
        <f>IF(B58="","",IFERROR(SUMIFS(Mișcări!$L$5:$L$2004,Mișcări!$D$5:$D$2004,B58)/SUMIFS(Mișcări!$F$5:$F$2004,Mișcări!$D$5:$D$2004,B58,Mișcări!$J$5:$J$2004,1,Mișcări!$G$5:$G$2004,"&gt;0"),Produse!G58))</f>
        <v/>
      </c>
      <c r="H58" s="18" t="str">
        <f t="shared" si="5"/>
        <v/>
      </c>
      <c r="I58" s="21" t="str">
        <f>IF(B58="","",Produse!I58)</f>
        <v/>
      </c>
      <c r="J58" s="21" t="str">
        <f>IF(B58="","",Produse!J58)</f>
        <v/>
      </c>
      <c r="K58" s="21" t="str">
        <f>IF(B58="","",-SUMIFS(Mișcări!$K$5:$K$2004,Mișcări!$D$5:$D$2004,B58,Mișcări!$J$5:$J$2004,-1,Mișcări!$B$5:$B$2004,"&gt;"&amp;(Azi-ZileConsum),Mișcări!$B$5:$B$2004,"&lt;="&amp;Azi))</f>
        <v/>
      </c>
      <c r="L58" s="17" t="str">
        <f t="shared" si="6"/>
        <v/>
      </c>
      <c r="M58" s="11" t="str">
        <f t="shared" si="7"/>
        <v/>
      </c>
      <c r="N58" s="22" t="str">
        <f>IF(B58="","",IFERROR(_xlfn.AGGREGATE(14,6,Mișcări!$B$5:$B$2004/(Mișcări!$D$5:$D$2004=B58),1),""))</f>
        <v/>
      </c>
      <c r="O58" s="11" t="str">
        <f t="shared" si="8"/>
        <v/>
      </c>
      <c r="P58" s="21" t="str">
        <f t="shared" si="9"/>
        <v/>
      </c>
    </row>
    <row r="59" spans="2:16" x14ac:dyDescent="0.2">
      <c r="B59" s="11" t="str">
        <f>IF(Produse!B59="","",Produse!B59)</f>
        <v/>
      </c>
      <c r="C59" s="10" t="str">
        <f>IF(B59="","",Produse!C59)</f>
        <v/>
      </c>
      <c r="D59" s="10" t="str">
        <f>IF(B59="","",Produse!D59)</f>
        <v/>
      </c>
      <c r="E59" s="11" t="str">
        <f>IF(B59="","",Produse!E59)</f>
        <v/>
      </c>
      <c r="F59" s="17" t="str">
        <f>IF(B59="","",SUMIFS(Mișcări!$K$5:$K$2004,Mișcări!$D$5:$D$2004,B59,Mișcări!$B$5:$B$2004,"&lt;="&amp;Azi))</f>
        <v/>
      </c>
      <c r="G59" s="18" t="str">
        <f>IF(B59="","",IFERROR(SUMIFS(Mișcări!$L$5:$L$2004,Mișcări!$D$5:$D$2004,B59)/SUMIFS(Mișcări!$F$5:$F$2004,Mișcări!$D$5:$D$2004,B59,Mișcări!$J$5:$J$2004,1,Mișcări!$G$5:$G$2004,"&gt;0"),Produse!G59))</f>
        <v/>
      </c>
      <c r="H59" s="18" t="str">
        <f t="shared" si="5"/>
        <v/>
      </c>
      <c r="I59" s="21" t="str">
        <f>IF(B59="","",Produse!I59)</f>
        <v/>
      </c>
      <c r="J59" s="21" t="str">
        <f>IF(B59="","",Produse!J59)</f>
        <v/>
      </c>
      <c r="K59" s="21" t="str">
        <f>IF(B59="","",-SUMIFS(Mișcări!$K$5:$K$2004,Mișcări!$D$5:$D$2004,B59,Mișcări!$J$5:$J$2004,-1,Mișcări!$B$5:$B$2004,"&gt;"&amp;(Azi-ZileConsum),Mișcări!$B$5:$B$2004,"&lt;="&amp;Azi))</f>
        <v/>
      </c>
      <c r="L59" s="17" t="str">
        <f t="shared" si="6"/>
        <v/>
      </c>
      <c r="M59" s="11" t="str">
        <f t="shared" si="7"/>
        <v/>
      </c>
      <c r="N59" s="22" t="str">
        <f>IF(B59="","",IFERROR(_xlfn.AGGREGATE(14,6,Mișcări!$B$5:$B$2004/(Mișcări!$D$5:$D$2004=B59),1),""))</f>
        <v/>
      </c>
      <c r="O59" s="11" t="str">
        <f t="shared" si="8"/>
        <v/>
      </c>
      <c r="P59" s="21" t="str">
        <f t="shared" si="9"/>
        <v/>
      </c>
    </row>
    <row r="60" spans="2:16" x14ac:dyDescent="0.2">
      <c r="B60" s="11" t="str">
        <f>IF(Produse!B60="","",Produse!B60)</f>
        <v/>
      </c>
      <c r="C60" s="10" t="str">
        <f>IF(B60="","",Produse!C60)</f>
        <v/>
      </c>
      <c r="D60" s="10" t="str">
        <f>IF(B60="","",Produse!D60)</f>
        <v/>
      </c>
      <c r="E60" s="11" t="str">
        <f>IF(B60="","",Produse!E60)</f>
        <v/>
      </c>
      <c r="F60" s="17" t="str">
        <f>IF(B60="","",SUMIFS(Mișcări!$K$5:$K$2004,Mișcări!$D$5:$D$2004,B60,Mișcări!$B$5:$B$2004,"&lt;="&amp;Azi))</f>
        <v/>
      </c>
      <c r="G60" s="18" t="str">
        <f>IF(B60="","",IFERROR(SUMIFS(Mișcări!$L$5:$L$2004,Mișcări!$D$5:$D$2004,B60)/SUMIFS(Mișcări!$F$5:$F$2004,Mișcări!$D$5:$D$2004,B60,Mișcări!$J$5:$J$2004,1,Mișcări!$G$5:$G$2004,"&gt;0"),Produse!G60))</f>
        <v/>
      </c>
      <c r="H60" s="18" t="str">
        <f t="shared" si="5"/>
        <v/>
      </c>
      <c r="I60" s="21" t="str">
        <f>IF(B60="","",Produse!I60)</f>
        <v/>
      </c>
      <c r="J60" s="21" t="str">
        <f>IF(B60="","",Produse!J60)</f>
        <v/>
      </c>
      <c r="K60" s="21" t="str">
        <f>IF(B60="","",-SUMIFS(Mișcări!$K$5:$K$2004,Mișcări!$D$5:$D$2004,B60,Mișcări!$J$5:$J$2004,-1,Mișcări!$B$5:$B$2004,"&gt;"&amp;(Azi-ZileConsum),Mișcări!$B$5:$B$2004,"&lt;="&amp;Azi))</f>
        <v/>
      </c>
      <c r="L60" s="17" t="str">
        <f t="shared" si="6"/>
        <v/>
      </c>
      <c r="M60" s="11" t="str">
        <f t="shared" si="7"/>
        <v/>
      </c>
      <c r="N60" s="22" t="str">
        <f>IF(B60="","",IFERROR(_xlfn.AGGREGATE(14,6,Mișcări!$B$5:$B$2004/(Mișcări!$D$5:$D$2004=B60),1),""))</f>
        <v/>
      </c>
      <c r="O60" s="11" t="str">
        <f t="shared" si="8"/>
        <v/>
      </c>
      <c r="P60" s="21" t="str">
        <f t="shared" si="9"/>
        <v/>
      </c>
    </row>
    <row r="61" spans="2:16" x14ac:dyDescent="0.2">
      <c r="B61" s="11" t="str">
        <f>IF(Produse!B61="","",Produse!B61)</f>
        <v/>
      </c>
      <c r="C61" s="10" t="str">
        <f>IF(B61="","",Produse!C61)</f>
        <v/>
      </c>
      <c r="D61" s="10" t="str">
        <f>IF(B61="","",Produse!D61)</f>
        <v/>
      </c>
      <c r="E61" s="11" t="str">
        <f>IF(B61="","",Produse!E61)</f>
        <v/>
      </c>
      <c r="F61" s="17" t="str">
        <f>IF(B61="","",SUMIFS(Mișcări!$K$5:$K$2004,Mișcări!$D$5:$D$2004,B61,Mișcări!$B$5:$B$2004,"&lt;="&amp;Azi))</f>
        <v/>
      </c>
      <c r="G61" s="18" t="str">
        <f>IF(B61="","",IFERROR(SUMIFS(Mișcări!$L$5:$L$2004,Mișcări!$D$5:$D$2004,B61)/SUMIFS(Mișcări!$F$5:$F$2004,Mișcări!$D$5:$D$2004,B61,Mișcări!$J$5:$J$2004,1,Mișcări!$G$5:$G$2004,"&gt;0"),Produse!G61))</f>
        <v/>
      </c>
      <c r="H61" s="18" t="str">
        <f t="shared" si="5"/>
        <v/>
      </c>
      <c r="I61" s="21" t="str">
        <f>IF(B61="","",Produse!I61)</f>
        <v/>
      </c>
      <c r="J61" s="21" t="str">
        <f>IF(B61="","",Produse!J61)</f>
        <v/>
      </c>
      <c r="K61" s="21" t="str">
        <f>IF(B61="","",-SUMIFS(Mișcări!$K$5:$K$2004,Mișcări!$D$5:$D$2004,B61,Mișcări!$J$5:$J$2004,-1,Mișcări!$B$5:$B$2004,"&gt;"&amp;(Azi-ZileConsum),Mișcări!$B$5:$B$2004,"&lt;="&amp;Azi))</f>
        <v/>
      </c>
      <c r="L61" s="17" t="str">
        <f t="shared" si="6"/>
        <v/>
      </c>
      <c r="M61" s="11" t="str">
        <f t="shared" si="7"/>
        <v/>
      </c>
      <c r="N61" s="22" t="str">
        <f>IF(B61="","",IFERROR(_xlfn.AGGREGATE(14,6,Mișcări!$B$5:$B$2004/(Mișcări!$D$5:$D$2004=B61),1),""))</f>
        <v/>
      </c>
      <c r="O61" s="11" t="str">
        <f t="shared" si="8"/>
        <v/>
      </c>
      <c r="P61" s="21" t="str">
        <f t="shared" si="9"/>
        <v/>
      </c>
    </row>
    <row r="62" spans="2:16" x14ac:dyDescent="0.2">
      <c r="B62" s="11" t="str">
        <f>IF(Produse!B62="","",Produse!B62)</f>
        <v/>
      </c>
      <c r="C62" s="10" t="str">
        <f>IF(B62="","",Produse!C62)</f>
        <v/>
      </c>
      <c r="D62" s="10" t="str">
        <f>IF(B62="","",Produse!D62)</f>
        <v/>
      </c>
      <c r="E62" s="11" t="str">
        <f>IF(B62="","",Produse!E62)</f>
        <v/>
      </c>
      <c r="F62" s="17" t="str">
        <f>IF(B62="","",SUMIFS(Mișcări!$K$5:$K$2004,Mișcări!$D$5:$D$2004,B62,Mișcări!$B$5:$B$2004,"&lt;="&amp;Azi))</f>
        <v/>
      </c>
      <c r="G62" s="18" t="str">
        <f>IF(B62="","",IFERROR(SUMIFS(Mișcări!$L$5:$L$2004,Mișcări!$D$5:$D$2004,B62)/SUMIFS(Mișcări!$F$5:$F$2004,Mișcări!$D$5:$D$2004,B62,Mișcări!$J$5:$J$2004,1,Mișcări!$G$5:$G$2004,"&gt;0"),Produse!G62))</f>
        <v/>
      </c>
      <c r="H62" s="18" t="str">
        <f t="shared" si="5"/>
        <v/>
      </c>
      <c r="I62" s="21" t="str">
        <f>IF(B62="","",Produse!I62)</f>
        <v/>
      </c>
      <c r="J62" s="21" t="str">
        <f>IF(B62="","",Produse!J62)</f>
        <v/>
      </c>
      <c r="K62" s="21" t="str">
        <f>IF(B62="","",-SUMIFS(Mișcări!$K$5:$K$2004,Mișcări!$D$5:$D$2004,B62,Mișcări!$J$5:$J$2004,-1,Mișcări!$B$5:$B$2004,"&gt;"&amp;(Azi-ZileConsum),Mișcări!$B$5:$B$2004,"&lt;="&amp;Azi))</f>
        <v/>
      </c>
      <c r="L62" s="17" t="str">
        <f t="shared" si="6"/>
        <v/>
      </c>
      <c r="M62" s="11" t="str">
        <f t="shared" si="7"/>
        <v/>
      </c>
      <c r="N62" s="22" t="str">
        <f>IF(B62="","",IFERROR(_xlfn.AGGREGATE(14,6,Mișcări!$B$5:$B$2004/(Mișcări!$D$5:$D$2004=B62),1),""))</f>
        <v/>
      </c>
      <c r="O62" s="11" t="str">
        <f t="shared" si="8"/>
        <v/>
      </c>
      <c r="P62" s="21" t="str">
        <f t="shared" si="9"/>
        <v/>
      </c>
    </row>
    <row r="63" spans="2:16" x14ac:dyDescent="0.2">
      <c r="B63" s="11" t="str">
        <f>IF(Produse!B63="","",Produse!B63)</f>
        <v/>
      </c>
      <c r="C63" s="10" t="str">
        <f>IF(B63="","",Produse!C63)</f>
        <v/>
      </c>
      <c r="D63" s="10" t="str">
        <f>IF(B63="","",Produse!D63)</f>
        <v/>
      </c>
      <c r="E63" s="11" t="str">
        <f>IF(B63="","",Produse!E63)</f>
        <v/>
      </c>
      <c r="F63" s="17" t="str">
        <f>IF(B63="","",SUMIFS(Mișcări!$K$5:$K$2004,Mișcări!$D$5:$D$2004,B63,Mișcări!$B$5:$B$2004,"&lt;="&amp;Azi))</f>
        <v/>
      </c>
      <c r="G63" s="18" t="str">
        <f>IF(B63="","",IFERROR(SUMIFS(Mișcări!$L$5:$L$2004,Mișcări!$D$5:$D$2004,B63)/SUMIFS(Mișcări!$F$5:$F$2004,Mișcări!$D$5:$D$2004,B63,Mișcări!$J$5:$J$2004,1,Mișcări!$G$5:$G$2004,"&gt;0"),Produse!G63))</f>
        <v/>
      </c>
      <c r="H63" s="18" t="str">
        <f t="shared" si="5"/>
        <v/>
      </c>
      <c r="I63" s="21" t="str">
        <f>IF(B63="","",Produse!I63)</f>
        <v/>
      </c>
      <c r="J63" s="21" t="str">
        <f>IF(B63="","",Produse!J63)</f>
        <v/>
      </c>
      <c r="K63" s="21" t="str">
        <f>IF(B63="","",-SUMIFS(Mișcări!$K$5:$K$2004,Mișcări!$D$5:$D$2004,B63,Mișcări!$J$5:$J$2004,-1,Mișcări!$B$5:$B$2004,"&gt;"&amp;(Azi-ZileConsum),Mișcări!$B$5:$B$2004,"&lt;="&amp;Azi))</f>
        <v/>
      </c>
      <c r="L63" s="17" t="str">
        <f t="shared" si="6"/>
        <v/>
      </c>
      <c r="M63" s="11" t="str">
        <f t="shared" si="7"/>
        <v/>
      </c>
      <c r="N63" s="22" t="str">
        <f>IF(B63="","",IFERROR(_xlfn.AGGREGATE(14,6,Mișcări!$B$5:$B$2004/(Mișcări!$D$5:$D$2004=B63),1),""))</f>
        <v/>
      </c>
      <c r="O63" s="11" t="str">
        <f t="shared" si="8"/>
        <v/>
      </c>
      <c r="P63" s="21" t="str">
        <f t="shared" si="9"/>
        <v/>
      </c>
    </row>
    <row r="64" spans="2:16" x14ac:dyDescent="0.2">
      <c r="B64" s="11" t="str">
        <f>IF(Produse!B64="","",Produse!B64)</f>
        <v/>
      </c>
      <c r="C64" s="10" t="str">
        <f>IF(B64="","",Produse!C64)</f>
        <v/>
      </c>
      <c r="D64" s="10" t="str">
        <f>IF(B64="","",Produse!D64)</f>
        <v/>
      </c>
      <c r="E64" s="11" t="str">
        <f>IF(B64="","",Produse!E64)</f>
        <v/>
      </c>
      <c r="F64" s="17" t="str">
        <f>IF(B64="","",SUMIFS(Mișcări!$K$5:$K$2004,Mișcări!$D$5:$D$2004,B64,Mișcări!$B$5:$B$2004,"&lt;="&amp;Azi))</f>
        <v/>
      </c>
      <c r="G64" s="18" t="str">
        <f>IF(B64="","",IFERROR(SUMIFS(Mișcări!$L$5:$L$2004,Mișcări!$D$5:$D$2004,B64)/SUMIFS(Mișcări!$F$5:$F$2004,Mișcări!$D$5:$D$2004,B64,Mișcări!$J$5:$J$2004,1,Mișcări!$G$5:$G$2004,"&gt;0"),Produse!G64))</f>
        <v/>
      </c>
      <c r="H64" s="18" t="str">
        <f t="shared" si="5"/>
        <v/>
      </c>
      <c r="I64" s="21" t="str">
        <f>IF(B64="","",Produse!I64)</f>
        <v/>
      </c>
      <c r="J64" s="21" t="str">
        <f>IF(B64="","",Produse!J64)</f>
        <v/>
      </c>
      <c r="K64" s="21" t="str">
        <f>IF(B64="","",-SUMIFS(Mișcări!$K$5:$K$2004,Mișcări!$D$5:$D$2004,B64,Mișcări!$J$5:$J$2004,-1,Mișcări!$B$5:$B$2004,"&gt;"&amp;(Azi-ZileConsum),Mișcări!$B$5:$B$2004,"&lt;="&amp;Azi))</f>
        <v/>
      </c>
      <c r="L64" s="17" t="str">
        <f t="shared" si="6"/>
        <v/>
      </c>
      <c r="M64" s="11" t="str">
        <f t="shared" si="7"/>
        <v/>
      </c>
      <c r="N64" s="22" t="str">
        <f>IF(B64="","",IFERROR(_xlfn.AGGREGATE(14,6,Mișcări!$B$5:$B$2004/(Mișcări!$D$5:$D$2004=B64),1),""))</f>
        <v/>
      </c>
      <c r="O64" s="11" t="str">
        <f t="shared" si="8"/>
        <v/>
      </c>
      <c r="P64" s="21" t="str">
        <f t="shared" si="9"/>
        <v/>
      </c>
    </row>
    <row r="65" spans="2:16" x14ac:dyDescent="0.2">
      <c r="B65" s="11" t="str">
        <f>IF(Produse!B65="","",Produse!B65)</f>
        <v/>
      </c>
      <c r="C65" s="10" t="str">
        <f>IF(B65="","",Produse!C65)</f>
        <v/>
      </c>
      <c r="D65" s="10" t="str">
        <f>IF(B65="","",Produse!D65)</f>
        <v/>
      </c>
      <c r="E65" s="11" t="str">
        <f>IF(B65="","",Produse!E65)</f>
        <v/>
      </c>
      <c r="F65" s="17" t="str">
        <f>IF(B65="","",SUMIFS(Mișcări!$K$5:$K$2004,Mișcări!$D$5:$D$2004,B65,Mișcări!$B$5:$B$2004,"&lt;="&amp;Azi))</f>
        <v/>
      </c>
      <c r="G65" s="18" t="str">
        <f>IF(B65="","",IFERROR(SUMIFS(Mișcări!$L$5:$L$2004,Mișcări!$D$5:$D$2004,B65)/SUMIFS(Mișcări!$F$5:$F$2004,Mișcări!$D$5:$D$2004,B65,Mișcări!$J$5:$J$2004,1,Mișcări!$G$5:$G$2004,"&gt;0"),Produse!G65))</f>
        <v/>
      </c>
      <c r="H65" s="18" t="str">
        <f t="shared" si="5"/>
        <v/>
      </c>
      <c r="I65" s="21" t="str">
        <f>IF(B65="","",Produse!I65)</f>
        <v/>
      </c>
      <c r="J65" s="21" t="str">
        <f>IF(B65="","",Produse!J65)</f>
        <v/>
      </c>
      <c r="K65" s="21" t="str">
        <f>IF(B65="","",-SUMIFS(Mișcări!$K$5:$K$2004,Mișcări!$D$5:$D$2004,B65,Mișcări!$J$5:$J$2004,-1,Mișcări!$B$5:$B$2004,"&gt;"&amp;(Azi-ZileConsum),Mișcări!$B$5:$B$2004,"&lt;="&amp;Azi))</f>
        <v/>
      </c>
      <c r="L65" s="17" t="str">
        <f t="shared" si="6"/>
        <v/>
      </c>
      <c r="M65" s="11" t="str">
        <f t="shared" si="7"/>
        <v/>
      </c>
      <c r="N65" s="22" t="str">
        <f>IF(B65="","",IFERROR(_xlfn.AGGREGATE(14,6,Mișcări!$B$5:$B$2004/(Mișcări!$D$5:$D$2004=B65),1),""))</f>
        <v/>
      </c>
      <c r="O65" s="11" t="str">
        <f t="shared" si="8"/>
        <v/>
      </c>
      <c r="P65" s="21" t="str">
        <f t="shared" si="9"/>
        <v/>
      </c>
    </row>
    <row r="66" spans="2:16" x14ac:dyDescent="0.2">
      <c r="B66" s="11" t="str">
        <f>IF(Produse!B66="","",Produse!B66)</f>
        <v/>
      </c>
      <c r="C66" s="10" t="str">
        <f>IF(B66="","",Produse!C66)</f>
        <v/>
      </c>
      <c r="D66" s="10" t="str">
        <f>IF(B66="","",Produse!D66)</f>
        <v/>
      </c>
      <c r="E66" s="11" t="str">
        <f>IF(B66="","",Produse!E66)</f>
        <v/>
      </c>
      <c r="F66" s="17" t="str">
        <f>IF(B66="","",SUMIFS(Mișcări!$K$5:$K$2004,Mișcări!$D$5:$D$2004,B66,Mișcări!$B$5:$B$2004,"&lt;="&amp;Azi))</f>
        <v/>
      </c>
      <c r="G66" s="18" t="str">
        <f>IF(B66="","",IFERROR(SUMIFS(Mișcări!$L$5:$L$2004,Mișcări!$D$5:$D$2004,B66)/SUMIFS(Mișcări!$F$5:$F$2004,Mișcări!$D$5:$D$2004,B66,Mișcări!$J$5:$J$2004,1,Mișcări!$G$5:$G$2004,"&gt;0"),Produse!G66))</f>
        <v/>
      </c>
      <c r="H66" s="18" t="str">
        <f t="shared" si="5"/>
        <v/>
      </c>
      <c r="I66" s="21" t="str">
        <f>IF(B66="","",Produse!I66)</f>
        <v/>
      </c>
      <c r="J66" s="21" t="str">
        <f>IF(B66="","",Produse!J66)</f>
        <v/>
      </c>
      <c r="K66" s="21" t="str">
        <f>IF(B66="","",-SUMIFS(Mișcări!$K$5:$K$2004,Mișcări!$D$5:$D$2004,B66,Mișcări!$J$5:$J$2004,-1,Mișcări!$B$5:$B$2004,"&gt;"&amp;(Azi-ZileConsum),Mișcări!$B$5:$B$2004,"&lt;="&amp;Azi))</f>
        <v/>
      </c>
      <c r="L66" s="17" t="str">
        <f t="shared" si="6"/>
        <v/>
      </c>
      <c r="M66" s="11" t="str">
        <f t="shared" si="7"/>
        <v/>
      </c>
      <c r="N66" s="22" t="str">
        <f>IF(B66="","",IFERROR(_xlfn.AGGREGATE(14,6,Mișcări!$B$5:$B$2004/(Mișcări!$D$5:$D$2004=B66),1),""))</f>
        <v/>
      </c>
      <c r="O66" s="11" t="str">
        <f t="shared" si="8"/>
        <v/>
      </c>
      <c r="P66" s="21" t="str">
        <f t="shared" si="9"/>
        <v/>
      </c>
    </row>
    <row r="67" spans="2:16" x14ac:dyDescent="0.2">
      <c r="B67" s="11" t="str">
        <f>IF(Produse!B67="","",Produse!B67)</f>
        <v/>
      </c>
      <c r="C67" s="10" t="str">
        <f>IF(B67="","",Produse!C67)</f>
        <v/>
      </c>
      <c r="D67" s="10" t="str">
        <f>IF(B67="","",Produse!D67)</f>
        <v/>
      </c>
      <c r="E67" s="11" t="str">
        <f>IF(B67="","",Produse!E67)</f>
        <v/>
      </c>
      <c r="F67" s="17" t="str">
        <f>IF(B67="","",SUMIFS(Mișcări!$K$5:$K$2004,Mișcări!$D$5:$D$2004,B67,Mișcări!$B$5:$B$2004,"&lt;="&amp;Azi))</f>
        <v/>
      </c>
      <c r="G67" s="18" t="str">
        <f>IF(B67="","",IFERROR(SUMIFS(Mișcări!$L$5:$L$2004,Mișcări!$D$5:$D$2004,B67)/SUMIFS(Mișcări!$F$5:$F$2004,Mișcări!$D$5:$D$2004,B67,Mișcări!$J$5:$J$2004,1,Mișcări!$G$5:$G$2004,"&gt;0"),Produse!G67))</f>
        <v/>
      </c>
      <c r="H67" s="18" t="str">
        <f t="shared" si="5"/>
        <v/>
      </c>
      <c r="I67" s="21" t="str">
        <f>IF(B67="","",Produse!I67)</f>
        <v/>
      </c>
      <c r="J67" s="21" t="str">
        <f>IF(B67="","",Produse!J67)</f>
        <v/>
      </c>
      <c r="K67" s="21" t="str">
        <f>IF(B67="","",-SUMIFS(Mișcări!$K$5:$K$2004,Mișcări!$D$5:$D$2004,B67,Mișcări!$J$5:$J$2004,-1,Mișcări!$B$5:$B$2004,"&gt;"&amp;(Azi-ZileConsum),Mișcări!$B$5:$B$2004,"&lt;="&amp;Azi))</f>
        <v/>
      </c>
      <c r="L67" s="17" t="str">
        <f t="shared" si="6"/>
        <v/>
      </c>
      <c r="M67" s="11" t="str">
        <f t="shared" si="7"/>
        <v/>
      </c>
      <c r="N67" s="22" t="str">
        <f>IF(B67="","",IFERROR(_xlfn.AGGREGATE(14,6,Mișcări!$B$5:$B$2004/(Mișcări!$D$5:$D$2004=B67),1),""))</f>
        <v/>
      </c>
      <c r="O67" s="11" t="str">
        <f t="shared" si="8"/>
        <v/>
      </c>
      <c r="P67" s="21" t="str">
        <f t="shared" si="9"/>
        <v/>
      </c>
    </row>
    <row r="68" spans="2:16" x14ac:dyDescent="0.2">
      <c r="B68" s="11" t="str">
        <f>IF(Produse!B68="","",Produse!B68)</f>
        <v/>
      </c>
      <c r="C68" s="10" t="str">
        <f>IF(B68="","",Produse!C68)</f>
        <v/>
      </c>
      <c r="D68" s="10" t="str">
        <f>IF(B68="","",Produse!D68)</f>
        <v/>
      </c>
      <c r="E68" s="11" t="str">
        <f>IF(B68="","",Produse!E68)</f>
        <v/>
      </c>
      <c r="F68" s="17" t="str">
        <f>IF(B68="","",SUMIFS(Mișcări!$K$5:$K$2004,Mișcări!$D$5:$D$2004,B68,Mișcări!$B$5:$B$2004,"&lt;="&amp;Azi))</f>
        <v/>
      </c>
      <c r="G68" s="18" t="str">
        <f>IF(B68="","",IFERROR(SUMIFS(Mișcări!$L$5:$L$2004,Mișcări!$D$5:$D$2004,B68)/SUMIFS(Mișcări!$F$5:$F$2004,Mișcări!$D$5:$D$2004,B68,Mișcări!$J$5:$J$2004,1,Mișcări!$G$5:$G$2004,"&gt;0"),Produse!G68))</f>
        <v/>
      </c>
      <c r="H68" s="18" t="str">
        <f t="shared" si="5"/>
        <v/>
      </c>
      <c r="I68" s="21" t="str">
        <f>IF(B68="","",Produse!I68)</f>
        <v/>
      </c>
      <c r="J68" s="21" t="str">
        <f>IF(B68="","",Produse!J68)</f>
        <v/>
      </c>
      <c r="K68" s="21" t="str">
        <f>IF(B68="","",-SUMIFS(Mișcări!$K$5:$K$2004,Mișcări!$D$5:$D$2004,B68,Mișcări!$J$5:$J$2004,-1,Mișcări!$B$5:$B$2004,"&gt;"&amp;(Azi-ZileConsum),Mișcări!$B$5:$B$2004,"&lt;="&amp;Azi))</f>
        <v/>
      </c>
      <c r="L68" s="17" t="str">
        <f t="shared" si="6"/>
        <v/>
      </c>
      <c r="M68" s="11" t="str">
        <f t="shared" si="7"/>
        <v/>
      </c>
      <c r="N68" s="22" t="str">
        <f>IF(B68="","",IFERROR(_xlfn.AGGREGATE(14,6,Mișcări!$B$5:$B$2004/(Mișcări!$D$5:$D$2004=B68),1),""))</f>
        <v/>
      </c>
      <c r="O68" s="11" t="str">
        <f t="shared" si="8"/>
        <v/>
      </c>
      <c r="P68" s="21" t="str">
        <f t="shared" si="9"/>
        <v/>
      </c>
    </row>
    <row r="69" spans="2:16" x14ac:dyDescent="0.2">
      <c r="B69" s="11" t="str">
        <f>IF(Produse!B69="","",Produse!B69)</f>
        <v/>
      </c>
      <c r="C69" s="10" t="str">
        <f>IF(B69="","",Produse!C69)</f>
        <v/>
      </c>
      <c r="D69" s="10" t="str">
        <f>IF(B69="","",Produse!D69)</f>
        <v/>
      </c>
      <c r="E69" s="11" t="str">
        <f>IF(B69="","",Produse!E69)</f>
        <v/>
      </c>
      <c r="F69" s="17" t="str">
        <f>IF(B69="","",SUMIFS(Mișcări!$K$5:$K$2004,Mișcări!$D$5:$D$2004,B69,Mișcări!$B$5:$B$2004,"&lt;="&amp;Azi))</f>
        <v/>
      </c>
      <c r="G69" s="18" t="str">
        <f>IF(B69="","",IFERROR(SUMIFS(Mișcări!$L$5:$L$2004,Mișcări!$D$5:$D$2004,B69)/SUMIFS(Mișcări!$F$5:$F$2004,Mișcări!$D$5:$D$2004,B69,Mișcări!$J$5:$J$2004,1,Mișcări!$G$5:$G$2004,"&gt;0"),Produse!G69))</f>
        <v/>
      </c>
      <c r="H69" s="18" t="str">
        <f t="shared" ref="H69:H100" si="10">IF(B69="","",ROUND(MAX(0,F69)*G69,2))</f>
        <v/>
      </c>
      <c r="I69" s="21" t="str">
        <f>IF(B69="","",Produse!I69)</f>
        <v/>
      </c>
      <c r="J69" s="21" t="str">
        <f>IF(B69="","",Produse!J69)</f>
        <v/>
      </c>
      <c r="K69" s="21" t="str">
        <f>IF(B69="","",-SUMIFS(Mișcări!$K$5:$K$2004,Mișcări!$D$5:$D$2004,B69,Mișcări!$J$5:$J$2004,-1,Mișcări!$B$5:$B$2004,"&gt;"&amp;(Azi-ZileConsum),Mișcări!$B$5:$B$2004,"&lt;="&amp;Azi))</f>
        <v/>
      </c>
      <c r="L69" s="17" t="str">
        <f t="shared" ref="L69:L100" si="11">IF(B69="","",K69/ZileConsum)</f>
        <v/>
      </c>
      <c r="M69" s="11" t="str">
        <f t="shared" ref="M69:M100" si="12">IF(B69="","",IF(N(L69)=0,"–",ROUND(MAX(0,F69)/L69,0)))</f>
        <v/>
      </c>
      <c r="N69" s="22" t="str">
        <f>IF(B69="","",IFERROR(_xlfn.AGGREGATE(14,6,Mișcări!$B$5:$B$2004/(Mișcări!$D$5:$D$2004=B69),1),""))</f>
        <v/>
      </c>
      <c r="O69" s="11" t="str">
        <f t="shared" ref="O69:O100" si="13">IF(B69="","",IF(F69&lt;=0,"Ruptură de stoc",IF(F69&lt;I69,"Sub stoc minim",IF(AND(N(J69)&gt;0,F69&gt;J69),"Exces de stoc",IF(AND(N69&lt;&gt;"",Azi-N69&gt;ZileMort),"Fără mișcare","OK")))))</f>
        <v/>
      </c>
      <c r="P69" s="21" t="str">
        <f t="shared" ref="P69:P100" si="14">IF(B69="","",IF(F69&lt;I69,MAX(0,J69-MAX(0,F69)),0))</f>
        <v/>
      </c>
    </row>
    <row r="70" spans="2:16" x14ac:dyDescent="0.2">
      <c r="B70" s="11" t="str">
        <f>IF(Produse!B70="","",Produse!B70)</f>
        <v/>
      </c>
      <c r="C70" s="10" t="str">
        <f>IF(B70="","",Produse!C70)</f>
        <v/>
      </c>
      <c r="D70" s="10" t="str">
        <f>IF(B70="","",Produse!D70)</f>
        <v/>
      </c>
      <c r="E70" s="11" t="str">
        <f>IF(B70="","",Produse!E70)</f>
        <v/>
      </c>
      <c r="F70" s="17" t="str">
        <f>IF(B70="","",SUMIFS(Mișcări!$K$5:$K$2004,Mișcări!$D$5:$D$2004,B70,Mișcări!$B$5:$B$2004,"&lt;="&amp;Azi))</f>
        <v/>
      </c>
      <c r="G70" s="18" t="str">
        <f>IF(B70="","",IFERROR(SUMIFS(Mișcări!$L$5:$L$2004,Mișcări!$D$5:$D$2004,B70)/SUMIFS(Mișcări!$F$5:$F$2004,Mișcări!$D$5:$D$2004,B70,Mișcări!$J$5:$J$2004,1,Mișcări!$G$5:$G$2004,"&gt;0"),Produse!G70))</f>
        <v/>
      </c>
      <c r="H70" s="18" t="str">
        <f t="shared" si="10"/>
        <v/>
      </c>
      <c r="I70" s="21" t="str">
        <f>IF(B70="","",Produse!I70)</f>
        <v/>
      </c>
      <c r="J70" s="21" t="str">
        <f>IF(B70="","",Produse!J70)</f>
        <v/>
      </c>
      <c r="K70" s="21" t="str">
        <f>IF(B70="","",-SUMIFS(Mișcări!$K$5:$K$2004,Mișcări!$D$5:$D$2004,B70,Mișcări!$J$5:$J$2004,-1,Mișcări!$B$5:$B$2004,"&gt;"&amp;(Azi-ZileConsum),Mișcări!$B$5:$B$2004,"&lt;="&amp;Azi))</f>
        <v/>
      </c>
      <c r="L70" s="17" t="str">
        <f t="shared" si="11"/>
        <v/>
      </c>
      <c r="M70" s="11" t="str">
        <f t="shared" si="12"/>
        <v/>
      </c>
      <c r="N70" s="22" t="str">
        <f>IF(B70="","",IFERROR(_xlfn.AGGREGATE(14,6,Mișcări!$B$5:$B$2004/(Mișcări!$D$5:$D$2004=B70),1),""))</f>
        <v/>
      </c>
      <c r="O70" s="11" t="str">
        <f t="shared" si="13"/>
        <v/>
      </c>
      <c r="P70" s="21" t="str">
        <f t="shared" si="14"/>
        <v/>
      </c>
    </row>
    <row r="71" spans="2:16" x14ac:dyDescent="0.2">
      <c r="B71" s="11" t="str">
        <f>IF(Produse!B71="","",Produse!B71)</f>
        <v/>
      </c>
      <c r="C71" s="10" t="str">
        <f>IF(B71="","",Produse!C71)</f>
        <v/>
      </c>
      <c r="D71" s="10" t="str">
        <f>IF(B71="","",Produse!D71)</f>
        <v/>
      </c>
      <c r="E71" s="11" t="str">
        <f>IF(B71="","",Produse!E71)</f>
        <v/>
      </c>
      <c r="F71" s="17" t="str">
        <f>IF(B71="","",SUMIFS(Mișcări!$K$5:$K$2004,Mișcări!$D$5:$D$2004,B71,Mișcări!$B$5:$B$2004,"&lt;="&amp;Azi))</f>
        <v/>
      </c>
      <c r="G71" s="18" t="str">
        <f>IF(B71="","",IFERROR(SUMIFS(Mișcări!$L$5:$L$2004,Mișcări!$D$5:$D$2004,B71)/SUMIFS(Mișcări!$F$5:$F$2004,Mișcări!$D$5:$D$2004,B71,Mișcări!$J$5:$J$2004,1,Mișcări!$G$5:$G$2004,"&gt;0"),Produse!G71))</f>
        <v/>
      </c>
      <c r="H71" s="18" t="str">
        <f t="shared" si="10"/>
        <v/>
      </c>
      <c r="I71" s="21" t="str">
        <f>IF(B71="","",Produse!I71)</f>
        <v/>
      </c>
      <c r="J71" s="21" t="str">
        <f>IF(B71="","",Produse!J71)</f>
        <v/>
      </c>
      <c r="K71" s="21" t="str">
        <f>IF(B71="","",-SUMIFS(Mișcări!$K$5:$K$2004,Mișcări!$D$5:$D$2004,B71,Mișcări!$J$5:$J$2004,-1,Mișcări!$B$5:$B$2004,"&gt;"&amp;(Azi-ZileConsum),Mișcări!$B$5:$B$2004,"&lt;="&amp;Azi))</f>
        <v/>
      </c>
      <c r="L71" s="17" t="str">
        <f t="shared" si="11"/>
        <v/>
      </c>
      <c r="M71" s="11" t="str">
        <f t="shared" si="12"/>
        <v/>
      </c>
      <c r="N71" s="22" t="str">
        <f>IF(B71="","",IFERROR(_xlfn.AGGREGATE(14,6,Mișcări!$B$5:$B$2004/(Mișcări!$D$5:$D$2004=B71),1),""))</f>
        <v/>
      </c>
      <c r="O71" s="11" t="str">
        <f t="shared" si="13"/>
        <v/>
      </c>
      <c r="P71" s="21" t="str">
        <f t="shared" si="14"/>
        <v/>
      </c>
    </row>
    <row r="72" spans="2:16" x14ac:dyDescent="0.2">
      <c r="B72" s="11" t="str">
        <f>IF(Produse!B72="","",Produse!B72)</f>
        <v/>
      </c>
      <c r="C72" s="10" t="str">
        <f>IF(B72="","",Produse!C72)</f>
        <v/>
      </c>
      <c r="D72" s="10" t="str">
        <f>IF(B72="","",Produse!D72)</f>
        <v/>
      </c>
      <c r="E72" s="11" t="str">
        <f>IF(B72="","",Produse!E72)</f>
        <v/>
      </c>
      <c r="F72" s="17" t="str">
        <f>IF(B72="","",SUMIFS(Mișcări!$K$5:$K$2004,Mișcări!$D$5:$D$2004,B72,Mișcări!$B$5:$B$2004,"&lt;="&amp;Azi))</f>
        <v/>
      </c>
      <c r="G72" s="18" t="str">
        <f>IF(B72="","",IFERROR(SUMIFS(Mișcări!$L$5:$L$2004,Mișcări!$D$5:$D$2004,B72)/SUMIFS(Mișcări!$F$5:$F$2004,Mișcări!$D$5:$D$2004,B72,Mișcări!$J$5:$J$2004,1,Mișcări!$G$5:$G$2004,"&gt;0"),Produse!G72))</f>
        <v/>
      </c>
      <c r="H72" s="18" t="str">
        <f t="shared" si="10"/>
        <v/>
      </c>
      <c r="I72" s="21" t="str">
        <f>IF(B72="","",Produse!I72)</f>
        <v/>
      </c>
      <c r="J72" s="21" t="str">
        <f>IF(B72="","",Produse!J72)</f>
        <v/>
      </c>
      <c r="K72" s="21" t="str">
        <f>IF(B72="","",-SUMIFS(Mișcări!$K$5:$K$2004,Mișcări!$D$5:$D$2004,B72,Mișcări!$J$5:$J$2004,-1,Mișcări!$B$5:$B$2004,"&gt;"&amp;(Azi-ZileConsum),Mișcări!$B$5:$B$2004,"&lt;="&amp;Azi))</f>
        <v/>
      </c>
      <c r="L72" s="17" t="str">
        <f t="shared" si="11"/>
        <v/>
      </c>
      <c r="M72" s="11" t="str">
        <f t="shared" si="12"/>
        <v/>
      </c>
      <c r="N72" s="22" t="str">
        <f>IF(B72="","",IFERROR(_xlfn.AGGREGATE(14,6,Mișcări!$B$5:$B$2004/(Mișcări!$D$5:$D$2004=B72),1),""))</f>
        <v/>
      </c>
      <c r="O72" s="11" t="str">
        <f t="shared" si="13"/>
        <v/>
      </c>
      <c r="P72" s="21" t="str">
        <f t="shared" si="14"/>
        <v/>
      </c>
    </row>
    <row r="73" spans="2:16" x14ac:dyDescent="0.2">
      <c r="B73" s="11" t="str">
        <f>IF(Produse!B73="","",Produse!B73)</f>
        <v/>
      </c>
      <c r="C73" s="10" t="str">
        <f>IF(B73="","",Produse!C73)</f>
        <v/>
      </c>
      <c r="D73" s="10" t="str">
        <f>IF(B73="","",Produse!D73)</f>
        <v/>
      </c>
      <c r="E73" s="11" t="str">
        <f>IF(B73="","",Produse!E73)</f>
        <v/>
      </c>
      <c r="F73" s="17" t="str">
        <f>IF(B73="","",SUMIFS(Mișcări!$K$5:$K$2004,Mișcări!$D$5:$D$2004,B73,Mișcări!$B$5:$B$2004,"&lt;="&amp;Azi))</f>
        <v/>
      </c>
      <c r="G73" s="18" t="str">
        <f>IF(B73="","",IFERROR(SUMIFS(Mișcări!$L$5:$L$2004,Mișcări!$D$5:$D$2004,B73)/SUMIFS(Mișcări!$F$5:$F$2004,Mișcări!$D$5:$D$2004,B73,Mișcări!$J$5:$J$2004,1,Mișcări!$G$5:$G$2004,"&gt;0"),Produse!G73))</f>
        <v/>
      </c>
      <c r="H73" s="18" t="str">
        <f t="shared" si="10"/>
        <v/>
      </c>
      <c r="I73" s="21" t="str">
        <f>IF(B73="","",Produse!I73)</f>
        <v/>
      </c>
      <c r="J73" s="21" t="str">
        <f>IF(B73="","",Produse!J73)</f>
        <v/>
      </c>
      <c r="K73" s="21" t="str">
        <f>IF(B73="","",-SUMIFS(Mișcări!$K$5:$K$2004,Mișcări!$D$5:$D$2004,B73,Mișcări!$J$5:$J$2004,-1,Mișcări!$B$5:$B$2004,"&gt;"&amp;(Azi-ZileConsum),Mișcări!$B$5:$B$2004,"&lt;="&amp;Azi))</f>
        <v/>
      </c>
      <c r="L73" s="17" t="str">
        <f t="shared" si="11"/>
        <v/>
      </c>
      <c r="M73" s="11" t="str">
        <f t="shared" si="12"/>
        <v/>
      </c>
      <c r="N73" s="22" t="str">
        <f>IF(B73="","",IFERROR(_xlfn.AGGREGATE(14,6,Mișcări!$B$5:$B$2004/(Mișcări!$D$5:$D$2004=B73),1),""))</f>
        <v/>
      </c>
      <c r="O73" s="11" t="str">
        <f t="shared" si="13"/>
        <v/>
      </c>
      <c r="P73" s="21" t="str">
        <f t="shared" si="14"/>
        <v/>
      </c>
    </row>
    <row r="74" spans="2:16" x14ac:dyDescent="0.2">
      <c r="B74" s="11" t="str">
        <f>IF(Produse!B74="","",Produse!B74)</f>
        <v/>
      </c>
      <c r="C74" s="10" t="str">
        <f>IF(B74="","",Produse!C74)</f>
        <v/>
      </c>
      <c r="D74" s="10" t="str">
        <f>IF(B74="","",Produse!D74)</f>
        <v/>
      </c>
      <c r="E74" s="11" t="str">
        <f>IF(B74="","",Produse!E74)</f>
        <v/>
      </c>
      <c r="F74" s="17" t="str">
        <f>IF(B74="","",SUMIFS(Mișcări!$K$5:$K$2004,Mișcări!$D$5:$D$2004,B74,Mișcări!$B$5:$B$2004,"&lt;="&amp;Azi))</f>
        <v/>
      </c>
      <c r="G74" s="18" t="str">
        <f>IF(B74="","",IFERROR(SUMIFS(Mișcări!$L$5:$L$2004,Mișcări!$D$5:$D$2004,B74)/SUMIFS(Mișcări!$F$5:$F$2004,Mișcări!$D$5:$D$2004,B74,Mișcări!$J$5:$J$2004,1,Mișcări!$G$5:$G$2004,"&gt;0"),Produse!G74))</f>
        <v/>
      </c>
      <c r="H74" s="18" t="str">
        <f t="shared" si="10"/>
        <v/>
      </c>
      <c r="I74" s="21" t="str">
        <f>IF(B74="","",Produse!I74)</f>
        <v/>
      </c>
      <c r="J74" s="21" t="str">
        <f>IF(B74="","",Produse!J74)</f>
        <v/>
      </c>
      <c r="K74" s="21" t="str">
        <f>IF(B74="","",-SUMIFS(Mișcări!$K$5:$K$2004,Mișcări!$D$5:$D$2004,B74,Mișcări!$J$5:$J$2004,-1,Mișcări!$B$5:$B$2004,"&gt;"&amp;(Azi-ZileConsum),Mișcări!$B$5:$B$2004,"&lt;="&amp;Azi))</f>
        <v/>
      </c>
      <c r="L74" s="17" t="str">
        <f t="shared" si="11"/>
        <v/>
      </c>
      <c r="M74" s="11" t="str">
        <f t="shared" si="12"/>
        <v/>
      </c>
      <c r="N74" s="22" t="str">
        <f>IF(B74="","",IFERROR(_xlfn.AGGREGATE(14,6,Mișcări!$B$5:$B$2004/(Mișcări!$D$5:$D$2004=B74),1),""))</f>
        <v/>
      </c>
      <c r="O74" s="11" t="str">
        <f t="shared" si="13"/>
        <v/>
      </c>
      <c r="P74" s="21" t="str">
        <f t="shared" si="14"/>
        <v/>
      </c>
    </row>
    <row r="75" spans="2:16" x14ac:dyDescent="0.2">
      <c r="B75" s="11" t="str">
        <f>IF(Produse!B75="","",Produse!B75)</f>
        <v/>
      </c>
      <c r="C75" s="10" t="str">
        <f>IF(B75="","",Produse!C75)</f>
        <v/>
      </c>
      <c r="D75" s="10" t="str">
        <f>IF(B75="","",Produse!D75)</f>
        <v/>
      </c>
      <c r="E75" s="11" t="str">
        <f>IF(B75="","",Produse!E75)</f>
        <v/>
      </c>
      <c r="F75" s="17" t="str">
        <f>IF(B75="","",SUMIFS(Mișcări!$K$5:$K$2004,Mișcări!$D$5:$D$2004,B75,Mișcări!$B$5:$B$2004,"&lt;="&amp;Azi))</f>
        <v/>
      </c>
      <c r="G75" s="18" t="str">
        <f>IF(B75="","",IFERROR(SUMIFS(Mișcări!$L$5:$L$2004,Mișcări!$D$5:$D$2004,B75)/SUMIFS(Mișcări!$F$5:$F$2004,Mișcări!$D$5:$D$2004,B75,Mișcări!$J$5:$J$2004,1,Mișcări!$G$5:$G$2004,"&gt;0"),Produse!G75))</f>
        <v/>
      </c>
      <c r="H75" s="18" t="str">
        <f t="shared" si="10"/>
        <v/>
      </c>
      <c r="I75" s="21" t="str">
        <f>IF(B75="","",Produse!I75)</f>
        <v/>
      </c>
      <c r="J75" s="21" t="str">
        <f>IF(B75="","",Produse!J75)</f>
        <v/>
      </c>
      <c r="K75" s="21" t="str">
        <f>IF(B75="","",-SUMIFS(Mișcări!$K$5:$K$2004,Mișcări!$D$5:$D$2004,B75,Mișcări!$J$5:$J$2004,-1,Mișcări!$B$5:$B$2004,"&gt;"&amp;(Azi-ZileConsum),Mișcări!$B$5:$B$2004,"&lt;="&amp;Azi))</f>
        <v/>
      </c>
      <c r="L75" s="17" t="str">
        <f t="shared" si="11"/>
        <v/>
      </c>
      <c r="M75" s="11" t="str">
        <f t="shared" si="12"/>
        <v/>
      </c>
      <c r="N75" s="22" t="str">
        <f>IF(B75="","",IFERROR(_xlfn.AGGREGATE(14,6,Mișcări!$B$5:$B$2004/(Mișcări!$D$5:$D$2004=B75),1),""))</f>
        <v/>
      </c>
      <c r="O75" s="11" t="str">
        <f t="shared" si="13"/>
        <v/>
      </c>
      <c r="P75" s="21" t="str">
        <f t="shared" si="14"/>
        <v/>
      </c>
    </row>
    <row r="76" spans="2:16" x14ac:dyDescent="0.2">
      <c r="B76" s="11" t="str">
        <f>IF(Produse!B76="","",Produse!B76)</f>
        <v/>
      </c>
      <c r="C76" s="10" t="str">
        <f>IF(B76="","",Produse!C76)</f>
        <v/>
      </c>
      <c r="D76" s="10" t="str">
        <f>IF(B76="","",Produse!D76)</f>
        <v/>
      </c>
      <c r="E76" s="11" t="str">
        <f>IF(B76="","",Produse!E76)</f>
        <v/>
      </c>
      <c r="F76" s="17" t="str">
        <f>IF(B76="","",SUMIFS(Mișcări!$K$5:$K$2004,Mișcări!$D$5:$D$2004,B76,Mișcări!$B$5:$B$2004,"&lt;="&amp;Azi))</f>
        <v/>
      </c>
      <c r="G76" s="18" t="str">
        <f>IF(B76="","",IFERROR(SUMIFS(Mișcări!$L$5:$L$2004,Mișcări!$D$5:$D$2004,B76)/SUMIFS(Mișcări!$F$5:$F$2004,Mișcări!$D$5:$D$2004,B76,Mișcări!$J$5:$J$2004,1,Mișcări!$G$5:$G$2004,"&gt;0"),Produse!G76))</f>
        <v/>
      </c>
      <c r="H76" s="18" t="str">
        <f t="shared" si="10"/>
        <v/>
      </c>
      <c r="I76" s="21" t="str">
        <f>IF(B76="","",Produse!I76)</f>
        <v/>
      </c>
      <c r="J76" s="21" t="str">
        <f>IF(B76="","",Produse!J76)</f>
        <v/>
      </c>
      <c r="K76" s="21" t="str">
        <f>IF(B76="","",-SUMIFS(Mișcări!$K$5:$K$2004,Mișcări!$D$5:$D$2004,B76,Mișcări!$J$5:$J$2004,-1,Mișcări!$B$5:$B$2004,"&gt;"&amp;(Azi-ZileConsum),Mișcări!$B$5:$B$2004,"&lt;="&amp;Azi))</f>
        <v/>
      </c>
      <c r="L76" s="17" t="str">
        <f t="shared" si="11"/>
        <v/>
      </c>
      <c r="M76" s="11" t="str">
        <f t="shared" si="12"/>
        <v/>
      </c>
      <c r="N76" s="22" t="str">
        <f>IF(B76="","",IFERROR(_xlfn.AGGREGATE(14,6,Mișcări!$B$5:$B$2004/(Mișcări!$D$5:$D$2004=B76),1),""))</f>
        <v/>
      </c>
      <c r="O76" s="11" t="str">
        <f t="shared" si="13"/>
        <v/>
      </c>
      <c r="P76" s="21" t="str">
        <f t="shared" si="14"/>
        <v/>
      </c>
    </row>
    <row r="77" spans="2:16" x14ac:dyDescent="0.2">
      <c r="B77" s="11" t="str">
        <f>IF(Produse!B77="","",Produse!B77)</f>
        <v/>
      </c>
      <c r="C77" s="10" t="str">
        <f>IF(B77="","",Produse!C77)</f>
        <v/>
      </c>
      <c r="D77" s="10" t="str">
        <f>IF(B77="","",Produse!D77)</f>
        <v/>
      </c>
      <c r="E77" s="11" t="str">
        <f>IF(B77="","",Produse!E77)</f>
        <v/>
      </c>
      <c r="F77" s="17" t="str">
        <f>IF(B77="","",SUMIFS(Mișcări!$K$5:$K$2004,Mișcări!$D$5:$D$2004,B77,Mișcări!$B$5:$B$2004,"&lt;="&amp;Azi))</f>
        <v/>
      </c>
      <c r="G77" s="18" t="str">
        <f>IF(B77="","",IFERROR(SUMIFS(Mișcări!$L$5:$L$2004,Mișcări!$D$5:$D$2004,B77)/SUMIFS(Mișcări!$F$5:$F$2004,Mișcări!$D$5:$D$2004,B77,Mișcări!$J$5:$J$2004,1,Mișcări!$G$5:$G$2004,"&gt;0"),Produse!G77))</f>
        <v/>
      </c>
      <c r="H77" s="18" t="str">
        <f t="shared" si="10"/>
        <v/>
      </c>
      <c r="I77" s="21" t="str">
        <f>IF(B77="","",Produse!I77)</f>
        <v/>
      </c>
      <c r="J77" s="21" t="str">
        <f>IF(B77="","",Produse!J77)</f>
        <v/>
      </c>
      <c r="K77" s="21" t="str">
        <f>IF(B77="","",-SUMIFS(Mișcări!$K$5:$K$2004,Mișcări!$D$5:$D$2004,B77,Mișcări!$J$5:$J$2004,-1,Mișcări!$B$5:$B$2004,"&gt;"&amp;(Azi-ZileConsum),Mișcări!$B$5:$B$2004,"&lt;="&amp;Azi))</f>
        <v/>
      </c>
      <c r="L77" s="17" t="str">
        <f t="shared" si="11"/>
        <v/>
      </c>
      <c r="M77" s="11" t="str">
        <f t="shared" si="12"/>
        <v/>
      </c>
      <c r="N77" s="22" t="str">
        <f>IF(B77="","",IFERROR(_xlfn.AGGREGATE(14,6,Mișcări!$B$5:$B$2004/(Mișcări!$D$5:$D$2004=B77),1),""))</f>
        <v/>
      </c>
      <c r="O77" s="11" t="str">
        <f t="shared" si="13"/>
        <v/>
      </c>
      <c r="P77" s="21" t="str">
        <f t="shared" si="14"/>
        <v/>
      </c>
    </row>
    <row r="78" spans="2:16" x14ac:dyDescent="0.2">
      <c r="B78" s="11" t="str">
        <f>IF(Produse!B78="","",Produse!B78)</f>
        <v/>
      </c>
      <c r="C78" s="10" t="str">
        <f>IF(B78="","",Produse!C78)</f>
        <v/>
      </c>
      <c r="D78" s="10" t="str">
        <f>IF(B78="","",Produse!D78)</f>
        <v/>
      </c>
      <c r="E78" s="11" t="str">
        <f>IF(B78="","",Produse!E78)</f>
        <v/>
      </c>
      <c r="F78" s="17" t="str">
        <f>IF(B78="","",SUMIFS(Mișcări!$K$5:$K$2004,Mișcări!$D$5:$D$2004,B78,Mișcări!$B$5:$B$2004,"&lt;="&amp;Azi))</f>
        <v/>
      </c>
      <c r="G78" s="18" t="str">
        <f>IF(B78="","",IFERROR(SUMIFS(Mișcări!$L$5:$L$2004,Mișcări!$D$5:$D$2004,B78)/SUMIFS(Mișcări!$F$5:$F$2004,Mișcări!$D$5:$D$2004,B78,Mișcări!$J$5:$J$2004,1,Mișcări!$G$5:$G$2004,"&gt;0"),Produse!G78))</f>
        <v/>
      </c>
      <c r="H78" s="18" t="str">
        <f t="shared" si="10"/>
        <v/>
      </c>
      <c r="I78" s="21" t="str">
        <f>IF(B78="","",Produse!I78)</f>
        <v/>
      </c>
      <c r="J78" s="21" t="str">
        <f>IF(B78="","",Produse!J78)</f>
        <v/>
      </c>
      <c r="K78" s="21" t="str">
        <f>IF(B78="","",-SUMIFS(Mișcări!$K$5:$K$2004,Mișcări!$D$5:$D$2004,B78,Mișcări!$J$5:$J$2004,-1,Mișcări!$B$5:$B$2004,"&gt;"&amp;(Azi-ZileConsum),Mișcări!$B$5:$B$2004,"&lt;="&amp;Azi))</f>
        <v/>
      </c>
      <c r="L78" s="17" t="str">
        <f t="shared" si="11"/>
        <v/>
      </c>
      <c r="M78" s="11" t="str">
        <f t="shared" si="12"/>
        <v/>
      </c>
      <c r="N78" s="22" t="str">
        <f>IF(B78="","",IFERROR(_xlfn.AGGREGATE(14,6,Mișcări!$B$5:$B$2004/(Mișcări!$D$5:$D$2004=B78),1),""))</f>
        <v/>
      </c>
      <c r="O78" s="11" t="str">
        <f t="shared" si="13"/>
        <v/>
      </c>
      <c r="P78" s="21" t="str">
        <f t="shared" si="14"/>
        <v/>
      </c>
    </row>
    <row r="79" spans="2:16" x14ac:dyDescent="0.2">
      <c r="B79" s="11" t="str">
        <f>IF(Produse!B79="","",Produse!B79)</f>
        <v/>
      </c>
      <c r="C79" s="10" t="str">
        <f>IF(B79="","",Produse!C79)</f>
        <v/>
      </c>
      <c r="D79" s="10" t="str">
        <f>IF(B79="","",Produse!D79)</f>
        <v/>
      </c>
      <c r="E79" s="11" t="str">
        <f>IF(B79="","",Produse!E79)</f>
        <v/>
      </c>
      <c r="F79" s="17" t="str">
        <f>IF(B79="","",SUMIFS(Mișcări!$K$5:$K$2004,Mișcări!$D$5:$D$2004,B79,Mișcări!$B$5:$B$2004,"&lt;="&amp;Azi))</f>
        <v/>
      </c>
      <c r="G79" s="18" t="str">
        <f>IF(B79="","",IFERROR(SUMIFS(Mișcări!$L$5:$L$2004,Mișcări!$D$5:$D$2004,B79)/SUMIFS(Mișcări!$F$5:$F$2004,Mișcări!$D$5:$D$2004,B79,Mișcări!$J$5:$J$2004,1,Mișcări!$G$5:$G$2004,"&gt;0"),Produse!G79))</f>
        <v/>
      </c>
      <c r="H79" s="18" t="str">
        <f t="shared" si="10"/>
        <v/>
      </c>
      <c r="I79" s="21" t="str">
        <f>IF(B79="","",Produse!I79)</f>
        <v/>
      </c>
      <c r="J79" s="21" t="str">
        <f>IF(B79="","",Produse!J79)</f>
        <v/>
      </c>
      <c r="K79" s="21" t="str">
        <f>IF(B79="","",-SUMIFS(Mișcări!$K$5:$K$2004,Mișcări!$D$5:$D$2004,B79,Mișcări!$J$5:$J$2004,-1,Mișcări!$B$5:$B$2004,"&gt;"&amp;(Azi-ZileConsum),Mișcări!$B$5:$B$2004,"&lt;="&amp;Azi))</f>
        <v/>
      </c>
      <c r="L79" s="17" t="str">
        <f t="shared" si="11"/>
        <v/>
      </c>
      <c r="M79" s="11" t="str">
        <f t="shared" si="12"/>
        <v/>
      </c>
      <c r="N79" s="22" t="str">
        <f>IF(B79="","",IFERROR(_xlfn.AGGREGATE(14,6,Mișcări!$B$5:$B$2004/(Mișcări!$D$5:$D$2004=B79),1),""))</f>
        <v/>
      </c>
      <c r="O79" s="11" t="str">
        <f t="shared" si="13"/>
        <v/>
      </c>
      <c r="P79" s="21" t="str">
        <f t="shared" si="14"/>
        <v/>
      </c>
    </row>
    <row r="80" spans="2:16" x14ac:dyDescent="0.2">
      <c r="B80" s="11" t="str">
        <f>IF(Produse!B80="","",Produse!B80)</f>
        <v/>
      </c>
      <c r="C80" s="10" t="str">
        <f>IF(B80="","",Produse!C80)</f>
        <v/>
      </c>
      <c r="D80" s="10" t="str">
        <f>IF(B80="","",Produse!D80)</f>
        <v/>
      </c>
      <c r="E80" s="11" t="str">
        <f>IF(B80="","",Produse!E80)</f>
        <v/>
      </c>
      <c r="F80" s="17" t="str">
        <f>IF(B80="","",SUMIFS(Mișcări!$K$5:$K$2004,Mișcări!$D$5:$D$2004,B80,Mișcări!$B$5:$B$2004,"&lt;="&amp;Azi))</f>
        <v/>
      </c>
      <c r="G80" s="18" t="str">
        <f>IF(B80="","",IFERROR(SUMIFS(Mișcări!$L$5:$L$2004,Mișcări!$D$5:$D$2004,B80)/SUMIFS(Mișcări!$F$5:$F$2004,Mișcări!$D$5:$D$2004,B80,Mișcări!$J$5:$J$2004,1,Mișcări!$G$5:$G$2004,"&gt;0"),Produse!G80))</f>
        <v/>
      </c>
      <c r="H80" s="18" t="str">
        <f t="shared" si="10"/>
        <v/>
      </c>
      <c r="I80" s="21" t="str">
        <f>IF(B80="","",Produse!I80)</f>
        <v/>
      </c>
      <c r="J80" s="21" t="str">
        <f>IF(B80="","",Produse!J80)</f>
        <v/>
      </c>
      <c r="K80" s="21" t="str">
        <f>IF(B80="","",-SUMIFS(Mișcări!$K$5:$K$2004,Mișcări!$D$5:$D$2004,B80,Mișcări!$J$5:$J$2004,-1,Mișcări!$B$5:$B$2004,"&gt;"&amp;(Azi-ZileConsum),Mișcări!$B$5:$B$2004,"&lt;="&amp;Azi))</f>
        <v/>
      </c>
      <c r="L80" s="17" t="str">
        <f t="shared" si="11"/>
        <v/>
      </c>
      <c r="M80" s="11" t="str">
        <f t="shared" si="12"/>
        <v/>
      </c>
      <c r="N80" s="22" t="str">
        <f>IF(B80="","",IFERROR(_xlfn.AGGREGATE(14,6,Mișcări!$B$5:$B$2004/(Mișcări!$D$5:$D$2004=B80),1),""))</f>
        <v/>
      </c>
      <c r="O80" s="11" t="str">
        <f t="shared" si="13"/>
        <v/>
      </c>
      <c r="P80" s="21" t="str">
        <f t="shared" si="14"/>
        <v/>
      </c>
    </row>
    <row r="81" spans="2:16" x14ac:dyDescent="0.2">
      <c r="B81" s="11" t="str">
        <f>IF(Produse!B81="","",Produse!B81)</f>
        <v/>
      </c>
      <c r="C81" s="10" t="str">
        <f>IF(B81="","",Produse!C81)</f>
        <v/>
      </c>
      <c r="D81" s="10" t="str">
        <f>IF(B81="","",Produse!D81)</f>
        <v/>
      </c>
      <c r="E81" s="11" t="str">
        <f>IF(B81="","",Produse!E81)</f>
        <v/>
      </c>
      <c r="F81" s="17" t="str">
        <f>IF(B81="","",SUMIFS(Mișcări!$K$5:$K$2004,Mișcări!$D$5:$D$2004,B81,Mișcări!$B$5:$B$2004,"&lt;="&amp;Azi))</f>
        <v/>
      </c>
      <c r="G81" s="18" t="str">
        <f>IF(B81="","",IFERROR(SUMIFS(Mișcări!$L$5:$L$2004,Mișcări!$D$5:$D$2004,B81)/SUMIFS(Mișcări!$F$5:$F$2004,Mișcări!$D$5:$D$2004,B81,Mișcări!$J$5:$J$2004,1,Mișcări!$G$5:$G$2004,"&gt;0"),Produse!G81))</f>
        <v/>
      </c>
      <c r="H81" s="18" t="str">
        <f t="shared" si="10"/>
        <v/>
      </c>
      <c r="I81" s="21" t="str">
        <f>IF(B81="","",Produse!I81)</f>
        <v/>
      </c>
      <c r="J81" s="21" t="str">
        <f>IF(B81="","",Produse!J81)</f>
        <v/>
      </c>
      <c r="K81" s="21" t="str">
        <f>IF(B81="","",-SUMIFS(Mișcări!$K$5:$K$2004,Mișcări!$D$5:$D$2004,B81,Mișcări!$J$5:$J$2004,-1,Mișcări!$B$5:$B$2004,"&gt;"&amp;(Azi-ZileConsum),Mișcări!$B$5:$B$2004,"&lt;="&amp;Azi))</f>
        <v/>
      </c>
      <c r="L81" s="17" t="str">
        <f t="shared" si="11"/>
        <v/>
      </c>
      <c r="M81" s="11" t="str">
        <f t="shared" si="12"/>
        <v/>
      </c>
      <c r="N81" s="22" t="str">
        <f>IF(B81="","",IFERROR(_xlfn.AGGREGATE(14,6,Mișcări!$B$5:$B$2004/(Mișcări!$D$5:$D$2004=B81),1),""))</f>
        <v/>
      </c>
      <c r="O81" s="11" t="str">
        <f t="shared" si="13"/>
        <v/>
      </c>
      <c r="P81" s="21" t="str">
        <f t="shared" si="14"/>
        <v/>
      </c>
    </row>
    <row r="82" spans="2:16" x14ac:dyDescent="0.2">
      <c r="B82" s="11" t="str">
        <f>IF(Produse!B82="","",Produse!B82)</f>
        <v/>
      </c>
      <c r="C82" s="10" t="str">
        <f>IF(B82="","",Produse!C82)</f>
        <v/>
      </c>
      <c r="D82" s="10" t="str">
        <f>IF(B82="","",Produse!D82)</f>
        <v/>
      </c>
      <c r="E82" s="11" t="str">
        <f>IF(B82="","",Produse!E82)</f>
        <v/>
      </c>
      <c r="F82" s="17" t="str">
        <f>IF(B82="","",SUMIFS(Mișcări!$K$5:$K$2004,Mișcări!$D$5:$D$2004,B82,Mișcări!$B$5:$B$2004,"&lt;="&amp;Azi))</f>
        <v/>
      </c>
      <c r="G82" s="18" t="str">
        <f>IF(B82="","",IFERROR(SUMIFS(Mișcări!$L$5:$L$2004,Mișcări!$D$5:$D$2004,B82)/SUMIFS(Mișcări!$F$5:$F$2004,Mișcări!$D$5:$D$2004,B82,Mișcări!$J$5:$J$2004,1,Mișcări!$G$5:$G$2004,"&gt;0"),Produse!G82))</f>
        <v/>
      </c>
      <c r="H82" s="18" t="str">
        <f t="shared" si="10"/>
        <v/>
      </c>
      <c r="I82" s="21" t="str">
        <f>IF(B82="","",Produse!I82)</f>
        <v/>
      </c>
      <c r="J82" s="21" t="str">
        <f>IF(B82="","",Produse!J82)</f>
        <v/>
      </c>
      <c r="K82" s="21" t="str">
        <f>IF(B82="","",-SUMIFS(Mișcări!$K$5:$K$2004,Mișcări!$D$5:$D$2004,B82,Mișcări!$J$5:$J$2004,-1,Mișcări!$B$5:$B$2004,"&gt;"&amp;(Azi-ZileConsum),Mișcări!$B$5:$B$2004,"&lt;="&amp;Azi))</f>
        <v/>
      </c>
      <c r="L82" s="17" t="str">
        <f t="shared" si="11"/>
        <v/>
      </c>
      <c r="M82" s="11" t="str">
        <f t="shared" si="12"/>
        <v/>
      </c>
      <c r="N82" s="22" t="str">
        <f>IF(B82="","",IFERROR(_xlfn.AGGREGATE(14,6,Mișcări!$B$5:$B$2004/(Mișcări!$D$5:$D$2004=B82),1),""))</f>
        <v/>
      </c>
      <c r="O82" s="11" t="str">
        <f t="shared" si="13"/>
        <v/>
      </c>
      <c r="P82" s="21" t="str">
        <f t="shared" si="14"/>
        <v/>
      </c>
    </row>
    <row r="83" spans="2:16" x14ac:dyDescent="0.2">
      <c r="B83" s="11" t="str">
        <f>IF(Produse!B83="","",Produse!B83)</f>
        <v/>
      </c>
      <c r="C83" s="10" t="str">
        <f>IF(B83="","",Produse!C83)</f>
        <v/>
      </c>
      <c r="D83" s="10" t="str">
        <f>IF(B83="","",Produse!D83)</f>
        <v/>
      </c>
      <c r="E83" s="11" t="str">
        <f>IF(B83="","",Produse!E83)</f>
        <v/>
      </c>
      <c r="F83" s="17" t="str">
        <f>IF(B83="","",SUMIFS(Mișcări!$K$5:$K$2004,Mișcări!$D$5:$D$2004,B83,Mișcări!$B$5:$B$2004,"&lt;="&amp;Azi))</f>
        <v/>
      </c>
      <c r="G83" s="18" t="str">
        <f>IF(B83="","",IFERROR(SUMIFS(Mișcări!$L$5:$L$2004,Mișcări!$D$5:$D$2004,B83)/SUMIFS(Mișcări!$F$5:$F$2004,Mișcări!$D$5:$D$2004,B83,Mișcări!$J$5:$J$2004,1,Mișcări!$G$5:$G$2004,"&gt;0"),Produse!G83))</f>
        <v/>
      </c>
      <c r="H83" s="18" t="str">
        <f t="shared" si="10"/>
        <v/>
      </c>
      <c r="I83" s="21" t="str">
        <f>IF(B83="","",Produse!I83)</f>
        <v/>
      </c>
      <c r="J83" s="21" t="str">
        <f>IF(B83="","",Produse!J83)</f>
        <v/>
      </c>
      <c r="K83" s="21" t="str">
        <f>IF(B83="","",-SUMIFS(Mișcări!$K$5:$K$2004,Mișcări!$D$5:$D$2004,B83,Mișcări!$J$5:$J$2004,-1,Mișcări!$B$5:$B$2004,"&gt;"&amp;(Azi-ZileConsum),Mișcări!$B$5:$B$2004,"&lt;="&amp;Azi))</f>
        <v/>
      </c>
      <c r="L83" s="17" t="str">
        <f t="shared" si="11"/>
        <v/>
      </c>
      <c r="M83" s="11" t="str">
        <f t="shared" si="12"/>
        <v/>
      </c>
      <c r="N83" s="22" t="str">
        <f>IF(B83="","",IFERROR(_xlfn.AGGREGATE(14,6,Mișcări!$B$5:$B$2004/(Mișcări!$D$5:$D$2004=B83),1),""))</f>
        <v/>
      </c>
      <c r="O83" s="11" t="str">
        <f t="shared" si="13"/>
        <v/>
      </c>
      <c r="P83" s="21" t="str">
        <f t="shared" si="14"/>
        <v/>
      </c>
    </row>
    <row r="84" spans="2:16" x14ac:dyDescent="0.2">
      <c r="B84" s="11" t="str">
        <f>IF(Produse!B84="","",Produse!B84)</f>
        <v/>
      </c>
      <c r="C84" s="10" t="str">
        <f>IF(B84="","",Produse!C84)</f>
        <v/>
      </c>
      <c r="D84" s="10" t="str">
        <f>IF(B84="","",Produse!D84)</f>
        <v/>
      </c>
      <c r="E84" s="11" t="str">
        <f>IF(B84="","",Produse!E84)</f>
        <v/>
      </c>
      <c r="F84" s="17" t="str">
        <f>IF(B84="","",SUMIFS(Mișcări!$K$5:$K$2004,Mișcări!$D$5:$D$2004,B84,Mișcări!$B$5:$B$2004,"&lt;="&amp;Azi))</f>
        <v/>
      </c>
      <c r="G84" s="18" t="str">
        <f>IF(B84="","",IFERROR(SUMIFS(Mișcări!$L$5:$L$2004,Mișcări!$D$5:$D$2004,B84)/SUMIFS(Mișcări!$F$5:$F$2004,Mișcări!$D$5:$D$2004,B84,Mișcări!$J$5:$J$2004,1,Mișcări!$G$5:$G$2004,"&gt;0"),Produse!G84))</f>
        <v/>
      </c>
      <c r="H84" s="18" t="str">
        <f t="shared" si="10"/>
        <v/>
      </c>
      <c r="I84" s="21" t="str">
        <f>IF(B84="","",Produse!I84)</f>
        <v/>
      </c>
      <c r="J84" s="21" t="str">
        <f>IF(B84="","",Produse!J84)</f>
        <v/>
      </c>
      <c r="K84" s="21" t="str">
        <f>IF(B84="","",-SUMIFS(Mișcări!$K$5:$K$2004,Mișcări!$D$5:$D$2004,B84,Mișcări!$J$5:$J$2004,-1,Mișcări!$B$5:$B$2004,"&gt;"&amp;(Azi-ZileConsum),Mișcări!$B$5:$B$2004,"&lt;="&amp;Azi))</f>
        <v/>
      </c>
      <c r="L84" s="17" t="str">
        <f t="shared" si="11"/>
        <v/>
      </c>
      <c r="M84" s="11" t="str">
        <f t="shared" si="12"/>
        <v/>
      </c>
      <c r="N84" s="22" t="str">
        <f>IF(B84="","",IFERROR(_xlfn.AGGREGATE(14,6,Mișcări!$B$5:$B$2004/(Mișcări!$D$5:$D$2004=B84),1),""))</f>
        <v/>
      </c>
      <c r="O84" s="11" t="str">
        <f t="shared" si="13"/>
        <v/>
      </c>
      <c r="P84" s="21" t="str">
        <f t="shared" si="14"/>
        <v/>
      </c>
    </row>
    <row r="85" spans="2:16" x14ac:dyDescent="0.2">
      <c r="B85" s="11" t="str">
        <f>IF(Produse!B85="","",Produse!B85)</f>
        <v/>
      </c>
      <c r="C85" s="10" t="str">
        <f>IF(B85="","",Produse!C85)</f>
        <v/>
      </c>
      <c r="D85" s="10" t="str">
        <f>IF(B85="","",Produse!D85)</f>
        <v/>
      </c>
      <c r="E85" s="11" t="str">
        <f>IF(B85="","",Produse!E85)</f>
        <v/>
      </c>
      <c r="F85" s="17" t="str">
        <f>IF(B85="","",SUMIFS(Mișcări!$K$5:$K$2004,Mișcări!$D$5:$D$2004,B85,Mișcări!$B$5:$B$2004,"&lt;="&amp;Azi))</f>
        <v/>
      </c>
      <c r="G85" s="18" t="str">
        <f>IF(B85="","",IFERROR(SUMIFS(Mișcări!$L$5:$L$2004,Mișcări!$D$5:$D$2004,B85)/SUMIFS(Mișcări!$F$5:$F$2004,Mișcări!$D$5:$D$2004,B85,Mișcări!$J$5:$J$2004,1,Mișcări!$G$5:$G$2004,"&gt;0"),Produse!G85))</f>
        <v/>
      </c>
      <c r="H85" s="18" t="str">
        <f t="shared" si="10"/>
        <v/>
      </c>
      <c r="I85" s="21" t="str">
        <f>IF(B85="","",Produse!I85)</f>
        <v/>
      </c>
      <c r="J85" s="21" t="str">
        <f>IF(B85="","",Produse!J85)</f>
        <v/>
      </c>
      <c r="K85" s="21" t="str">
        <f>IF(B85="","",-SUMIFS(Mișcări!$K$5:$K$2004,Mișcări!$D$5:$D$2004,B85,Mișcări!$J$5:$J$2004,-1,Mișcări!$B$5:$B$2004,"&gt;"&amp;(Azi-ZileConsum),Mișcări!$B$5:$B$2004,"&lt;="&amp;Azi))</f>
        <v/>
      </c>
      <c r="L85" s="17" t="str">
        <f t="shared" si="11"/>
        <v/>
      </c>
      <c r="M85" s="11" t="str">
        <f t="shared" si="12"/>
        <v/>
      </c>
      <c r="N85" s="22" t="str">
        <f>IF(B85="","",IFERROR(_xlfn.AGGREGATE(14,6,Mișcări!$B$5:$B$2004/(Mișcări!$D$5:$D$2004=B85),1),""))</f>
        <v/>
      </c>
      <c r="O85" s="11" t="str">
        <f t="shared" si="13"/>
        <v/>
      </c>
      <c r="P85" s="21" t="str">
        <f t="shared" si="14"/>
        <v/>
      </c>
    </row>
    <row r="86" spans="2:16" x14ac:dyDescent="0.2">
      <c r="B86" s="11" t="str">
        <f>IF(Produse!B86="","",Produse!B86)</f>
        <v/>
      </c>
      <c r="C86" s="10" t="str">
        <f>IF(B86="","",Produse!C86)</f>
        <v/>
      </c>
      <c r="D86" s="10" t="str">
        <f>IF(B86="","",Produse!D86)</f>
        <v/>
      </c>
      <c r="E86" s="11" t="str">
        <f>IF(B86="","",Produse!E86)</f>
        <v/>
      </c>
      <c r="F86" s="17" t="str">
        <f>IF(B86="","",SUMIFS(Mișcări!$K$5:$K$2004,Mișcări!$D$5:$D$2004,B86,Mișcări!$B$5:$B$2004,"&lt;="&amp;Azi))</f>
        <v/>
      </c>
      <c r="G86" s="18" t="str">
        <f>IF(B86="","",IFERROR(SUMIFS(Mișcări!$L$5:$L$2004,Mișcări!$D$5:$D$2004,B86)/SUMIFS(Mișcări!$F$5:$F$2004,Mișcări!$D$5:$D$2004,B86,Mișcări!$J$5:$J$2004,1,Mișcări!$G$5:$G$2004,"&gt;0"),Produse!G86))</f>
        <v/>
      </c>
      <c r="H86" s="18" t="str">
        <f t="shared" si="10"/>
        <v/>
      </c>
      <c r="I86" s="21" t="str">
        <f>IF(B86="","",Produse!I86)</f>
        <v/>
      </c>
      <c r="J86" s="21" t="str">
        <f>IF(B86="","",Produse!J86)</f>
        <v/>
      </c>
      <c r="K86" s="21" t="str">
        <f>IF(B86="","",-SUMIFS(Mișcări!$K$5:$K$2004,Mișcări!$D$5:$D$2004,B86,Mișcări!$J$5:$J$2004,-1,Mișcări!$B$5:$B$2004,"&gt;"&amp;(Azi-ZileConsum),Mișcări!$B$5:$B$2004,"&lt;="&amp;Azi))</f>
        <v/>
      </c>
      <c r="L86" s="17" t="str">
        <f t="shared" si="11"/>
        <v/>
      </c>
      <c r="M86" s="11" t="str">
        <f t="shared" si="12"/>
        <v/>
      </c>
      <c r="N86" s="22" t="str">
        <f>IF(B86="","",IFERROR(_xlfn.AGGREGATE(14,6,Mișcări!$B$5:$B$2004/(Mișcări!$D$5:$D$2004=B86),1),""))</f>
        <v/>
      </c>
      <c r="O86" s="11" t="str">
        <f t="shared" si="13"/>
        <v/>
      </c>
      <c r="P86" s="21" t="str">
        <f t="shared" si="14"/>
        <v/>
      </c>
    </row>
    <row r="87" spans="2:16" x14ac:dyDescent="0.2">
      <c r="B87" s="11" t="str">
        <f>IF(Produse!B87="","",Produse!B87)</f>
        <v/>
      </c>
      <c r="C87" s="10" t="str">
        <f>IF(B87="","",Produse!C87)</f>
        <v/>
      </c>
      <c r="D87" s="10" t="str">
        <f>IF(B87="","",Produse!D87)</f>
        <v/>
      </c>
      <c r="E87" s="11" t="str">
        <f>IF(B87="","",Produse!E87)</f>
        <v/>
      </c>
      <c r="F87" s="17" t="str">
        <f>IF(B87="","",SUMIFS(Mișcări!$K$5:$K$2004,Mișcări!$D$5:$D$2004,B87,Mișcări!$B$5:$B$2004,"&lt;="&amp;Azi))</f>
        <v/>
      </c>
      <c r="G87" s="18" t="str">
        <f>IF(B87="","",IFERROR(SUMIFS(Mișcări!$L$5:$L$2004,Mișcări!$D$5:$D$2004,B87)/SUMIFS(Mișcări!$F$5:$F$2004,Mișcări!$D$5:$D$2004,B87,Mișcări!$J$5:$J$2004,1,Mișcări!$G$5:$G$2004,"&gt;0"),Produse!G87))</f>
        <v/>
      </c>
      <c r="H87" s="18" t="str">
        <f t="shared" si="10"/>
        <v/>
      </c>
      <c r="I87" s="21" t="str">
        <f>IF(B87="","",Produse!I87)</f>
        <v/>
      </c>
      <c r="J87" s="21" t="str">
        <f>IF(B87="","",Produse!J87)</f>
        <v/>
      </c>
      <c r="K87" s="21" t="str">
        <f>IF(B87="","",-SUMIFS(Mișcări!$K$5:$K$2004,Mișcări!$D$5:$D$2004,B87,Mișcări!$J$5:$J$2004,-1,Mișcări!$B$5:$B$2004,"&gt;"&amp;(Azi-ZileConsum),Mișcări!$B$5:$B$2004,"&lt;="&amp;Azi))</f>
        <v/>
      </c>
      <c r="L87" s="17" t="str">
        <f t="shared" si="11"/>
        <v/>
      </c>
      <c r="M87" s="11" t="str">
        <f t="shared" si="12"/>
        <v/>
      </c>
      <c r="N87" s="22" t="str">
        <f>IF(B87="","",IFERROR(_xlfn.AGGREGATE(14,6,Mișcări!$B$5:$B$2004/(Mișcări!$D$5:$D$2004=B87),1),""))</f>
        <v/>
      </c>
      <c r="O87" s="11" t="str">
        <f t="shared" si="13"/>
        <v/>
      </c>
      <c r="P87" s="21" t="str">
        <f t="shared" si="14"/>
        <v/>
      </c>
    </row>
    <row r="88" spans="2:16" x14ac:dyDescent="0.2">
      <c r="B88" s="11" t="str">
        <f>IF(Produse!B88="","",Produse!B88)</f>
        <v/>
      </c>
      <c r="C88" s="10" t="str">
        <f>IF(B88="","",Produse!C88)</f>
        <v/>
      </c>
      <c r="D88" s="10" t="str">
        <f>IF(B88="","",Produse!D88)</f>
        <v/>
      </c>
      <c r="E88" s="11" t="str">
        <f>IF(B88="","",Produse!E88)</f>
        <v/>
      </c>
      <c r="F88" s="17" t="str">
        <f>IF(B88="","",SUMIFS(Mișcări!$K$5:$K$2004,Mișcări!$D$5:$D$2004,B88,Mișcări!$B$5:$B$2004,"&lt;="&amp;Azi))</f>
        <v/>
      </c>
      <c r="G88" s="18" t="str">
        <f>IF(B88="","",IFERROR(SUMIFS(Mișcări!$L$5:$L$2004,Mișcări!$D$5:$D$2004,B88)/SUMIFS(Mișcări!$F$5:$F$2004,Mișcări!$D$5:$D$2004,B88,Mișcări!$J$5:$J$2004,1,Mișcări!$G$5:$G$2004,"&gt;0"),Produse!G88))</f>
        <v/>
      </c>
      <c r="H88" s="18" t="str">
        <f t="shared" si="10"/>
        <v/>
      </c>
      <c r="I88" s="21" t="str">
        <f>IF(B88="","",Produse!I88)</f>
        <v/>
      </c>
      <c r="J88" s="21" t="str">
        <f>IF(B88="","",Produse!J88)</f>
        <v/>
      </c>
      <c r="K88" s="21" t="str">
        <f>IF(B88="","",-SUMIFS(Mișcări!$K$5:$K$2004,Mișcări!$D$5:$D$2004,B88,Mișcări!$J$5:$J$2004,-1,Mișcări!$B$5:$B$2004,"&gt;"&amp;(Azi-ZileConsum),Mișcări!$B$5:$B$2004,"&lt;="&amp;Azi))</f>
        <v/>
      </c>
      <c r="L88" s="17" t="str">
        <f t="shared" si="11"/>
        <v/>
      </c>
      <c r="M88" s="11" t="str">
        <f t="shared" si="12"/>
        <v/>
      </c>
      <c r="N88" s="22" t="str">
        <f>IF(B88="","",IFERROR(_xlfn.AGGREGATE(14,6,Mișcări!$B$5:$B$2004/(Mișcări!$D$5:$D$2004=B88),1),""))</f>
        <v/>
      </c>
      <c r="O88" s="11" t="str">
        <f t="shared" si="13"/>
        <v/>
      </c>
      <c r="P88" s="21" t="str">
        <f t="shared" si="14"/>
        <v/>
      </c>
    </row>
    <row r="89" spans="2:16" x14ac:dyDescent="0.2">
      <c r="B89" s="11" t="str">
        <f>IF(Produse!B89="","",Produse!B89)</f>
        <v/>
      </c>
      <c r="C89" s="10" t="str">
        <f>IF(B89="","",Produse!C89)</f>
        <v/>
      </c>
      <c r="D89" s="10" t="str">
        <f>IF(B89="","",Produse!D89)</f>
        <v/>
      </c>
      <c r="E89" s="11" t="str">
        <f>IF(B89="","",Produse!E89)</f>
        <v/>
      </c>
      <c r="F89" s="17" t="str">
        <f>IF(B89="","",SUMIFS(Mișcări!$K$5:$K$2004,Mișcări!$D$5:$D$2004,B89,Mișcări!$B$5:$B$2004,"&lt;="&amp;Azi))</f>
        <v/>
      </c>
      <c r="G89" s="18" t="str">
        <f>IF(B89="","",IFERROR(SUMIFS(Mișcări!$L$5:$L$2004,Mișcări!$D$5:$D$2004,B89)/SUMIFS(Mișcări!$F$5:$F$2004,Mișcări!$D$5:$D$2004,B89,Mișcări!$J$5:$J$2004,1,Mișcări!$G$5:$G$2004,"&gt;0"),Produse!G89))</f>
        <v/>
      </c>
      <c r="H89" s="18" t="str">
        <f t="shared" si="10"/>
        <v/>
      </c>
      <c r="I89" s="21" t="str">
        <f>IF(B89="","",Produse!I89)</f>
        <v/>
      </c>
      <c r="J89" s="21" t="str">
        <f>IF(B89="","",Produse!J89)</f>
        <v/>
      </c>
      <c r="K89" s="21" t="str">
        <f>IF(B89="","",-SUMIFS(Mișcări!$K$5:$K$2004,Mișcări!$D$5:$D$2004,B89,Mișcări!$J$5:$J$2004,-1,Mișcări!$B$5:$B$2004,"&gt;"&amp;(Azi-ZileConsum),Mișcări!$B$5:$B$2004,"&lt;="&amp;Azi))</f>
        <v/>
      </c>
      <c r="L89" s="17" t="str">
        <f t="shared" si="11"/>
        <v/>
      </c>
      <c r="M89" s="11" t="str">
        <f t="shared" si="12"/>
        <v/>
      </c>
      <c r="N89" s="22" t="str">
        <f>IF(B89="","",IFERROR(_xlfn.AGGREGATE(14,6,Mișcări!$B$5:$B$2004/(Mișcări!$D$5:$D$2004=B89),1),""))</f>
        <v/>
      </c>
      <c r="O89" s="11" t="str">
        <f t="shared" si="13"/>
        <v/>
      </c>
      <c r="P89" s="21" t="str">
        <f t="shared" si="14"/>
        <v/>
      </c>
    </row>
    <row r="90" spans="2:16" x14ac:dyDescent="0.2">
      <c r="B90" s="11" t="str">
        <f>IF(Produse!B90="","",Produse!B90)</f>
        <v/>
      </c>
      <c r="C90" s="10" t="str">
        <f>IF(B90="","",Produse!C90)</f>
        <v/>
      </c>
      <c r="D90" s="10" t="str">
        <f>IF(B90="","",Produse!D90)</f>
        <v/>
      </c>
      <c r="E90" s="11" t="str">
        <f>IF(B90="","",Produse!E90)</f>
        <v/>
      </c>
      <c r="F90" s="17" t="str">
        <f>IF(B90="","",SUMIFS(Mișcări!$K$5:$K$2004,Mișcări!$D$5:$D$2004,B90,Mișcări!$B$5:$B$2004,"&lt;="&amp;Azi))</f>
        <v/>
      </c>
      <c r="G90" s="18" t="str">
        <f>IF(B90="","",IFERROR(SUMIFS(Mișcări!$L$5:$L$2004,Mișcări!$D$5:$D$2004,B90)/SUMIFS(Mișcări!$F$5:$F$2004,Mișcări!$D$5:$D$2004,B90,Mișcări!$J$5:$J$2004,1,Mișcări!$G$5:$G$2004,"&gt;0"),Produse!G90))</f>
        <v/>
      </c>
      <c r="H90" s="18" t="str">
        <f t="shared" si="10"/>
        <v/>
      </c>
      <c r="I90" s="21" t="str">
        <f>IF(B90="","",Produse!I90)</f>
        <v/>
      </c>
      <c r="J90" s="21" t="str">
        <f>IF(B90="","",Produse!J90)</f>
        <v/>
      </c>
      <c r="K90" s="21" t="str">
        <f>IF(B90="","",-SUMIFS(Mișcări!$K$5:$K$2004,Mișcări!$D$5:$D$2004,B90,Mișcări!$J$5:$J$2004,-1,Mișcări!$B$5:$B$2004,"&gt;"&amp;(Azi-ZileConsum),Mișcări!$B$5:$B$2004,"&lt;="&amp;Azi))</f>
        <v/>
      </c>
      <c r="L90" s="17" t="str">
        <f t="shared" si="11"/>
        <v/>
      </c>
      <c r="M90" s="11" t="str">
        <f t="shared" si="12"/>
        <v/>
      </c>
      <c r="N90" s="22" t="str">
        <f>IF(B90="","",IFERROR(_xlfn.AGGREGATE(14,6,Mișcări!$B$5:$B$2004/(Mișcări!$D$5:$D$2004=B90),1),""))</f>
        <v/>
      </c>
      <c r="O90" s="11" t="str">
        <f t="shared" si="13"/>
        <v/>
      </c>
      <c r="P90" s="21" t="str">
        <f t="shared" si="14"/>
        <v/>
      </c>
    </row>
    <row r="91" spans="2:16" x14ac:dyDescent="0.2">
      <c r="B91" s="11" t="str">
        <f>IF(Produse!B91="","",Produse!B91)</f>
        <v/>
      </c>
      <c r="C91" s="10" t="str">
        <f>IF(B91="","",Produse!C91)</f>
        <v/>
      </c>
      <c r="D91" s="10" t="str">
        <f>IF(B91="","",Produse!D91)</f>
        <v/>
      </c>
      <c r="E91" s="11" t="str">
        <f>IF(B91="","",Produse!E91)</f>
        <v/>
      </c>
      <c r="F91" s="17" t="str">
        <f>IF(B91="","",SUMIFS(Mișcări!$K$5:$K$2004,Mișcări!$D$5:$D$2004,B91,Mișcări!$B$5:$B$2004,"&lt;="&amp;Azi))</f>
        <v/>
      </c>
      <c r="G91" s="18" t="str">
        <f>IF(B91="","",IFERROR(SUMIFS(Mișcări!$L$5:$L$2004,Mișcări!$D$5:$D$2004,B91)/SUMIFS(Mișcări!$F$5:$F$2004,Mișcări!$D$5:$D$2004,B91,Mișcări!$J$5:$J$2004,1,Mișcări!$G$5:$G$2004,"&gt;0"),Produse!G91))</f>
        <v/>
      </c>
      <c r="H91" s="18" t="str">
        <f t="shared" si="10"/>
        <v/>
      </c>
      <c r="I91" s="21" t="str">
        <f>IF(B91="","",Produse!I91)</f>
        <v/>
      </c>
      <c r="J91" s="21" t="str">
        <f>IF(B91="","",Produse!J91)</f>
        <v/>
      </c>
      <c r="K91" s="21" t="str">
        <f>IF(B91="","",-SUMIFS(Mișcări!$K$5:$K$2004,Mișcări!$D$5:$D$2004,B91,Mișcări!$J$5:$J$2004,-1,Mișcări!$B$5:$B$2004,"&gt;"&amp;(Azi-ZileConsum),Mișcări!$B$5:$B$2004,"&lt;="&amp;Azi))</f>
        <v/>
      </c>
      <c r="L91" s="17" t="str">
        <f t="shared" si="11"/>
        <v/>
      </c>
      <c r="M91" s="11" t="str">
        <f t="shared" si="12"/>
        <v/>
      </c>
      <c r="N91" s="22" t="str">
        <f>IF(B91="","",IFERROR(_xlfn.AGGREGATE(14,6,Mișcări!$B$5:$B$2004/(Mișcări!$D$5:$D$2004=B91),1),""))</f>
        <v/>
      </c>
      <c r="O91" s="11" t="str">
        <f t="shared" si="13"/>
        <v/>
      </c>
      <c r="P91" s="21" t="str">
        <f t="shared" si="14"/>
        <v/>
      </c>
    </row>
    <row r="92" spans="2:16" x14ac:dyDescent="0.2">
      <c r="B92" s="11" t="str">
        <f>IF(Produse!B92="","",Produse!B92)</f>
        <v/>
      </c>
      <c r="C92" s="10" t="str">
        <f>IF(B92="","",Produse!C92)</f>
        <v/>
      </c>
      <c r="D92" s="10" t="str">
        <f>IF(B92="","",Produse!D92)</f>
        <v/>
      </c>
      <c r="E92" s="11" t="str">
        <f>IF(B92="","",Produse!E92)</f>
        <v/>
      </c>
      <c r="F92" s="17" t="str">
        <f>IF(B92="","",SUMIFS(Mișcări!$K$5:$K$2004,Mișcări!$D$5:$D$2004,B92,Mișcări!$B$5:$B$2004,"&lt;="&amp;Azi))</f>
        <v/>
      </c>
      <c r="G92" s="18" t="str">
        <f>IF(B92="","",IFERROR(SUMIFS(Mișcări!$L$5:$L$2004,Mișcări!$D$5:$D$2004,B92)/SUMIFS(Mișcări!$F$5:$F$2004,Mișcări!$D$5:$D$2004,B92,Mișcări!$J$5:$J$2004,1,Mișcări!$G$5:$G$2004,"&gt;0"),Produse!G92))</f>
        <v/>
      </c>
      <c r="H92" s="18" t="str">
        <f t="shared" si="10"/>
        <v/>
      </c>
      <c r="I92" s="21" t="str">
        <f>IF(B92="","",Produse!I92)</f>
        <v/>
      </c>
      <c r="J92" s="21" t="str">
        <f>IF(B92="","",Produse!J92)</f>
        <v/>
      </c>
      <c r="K92" s="21" t="str">
        <f>IF(B92="","",-SUMIFS(Mișcări!$K$5:$K$2004,Mișcări!$D$5:$D$2004,B92,Mișcări!$J$5:$J$2004,-1,Mișcări!$B$5:$B$2004,"&gt;"&amp;(Azi-ZileConsum),Mișcări!$B$5:$B$2004,"&lt;="&amp;Azi))</f>
        <v/>
      </c>
      <c r="L92" s="17" t="str">
        <f t="shared" si="11"/>
        <v/>
      </c>
      <c r="M92" s="11" t="str">
        <f t="shared" si="12"/>
        <v/>
      </c>
      <c r="N92" s="22" t="str">
        <f>IF(B92="","",IFERROR(_xlfn.AGGREGATE(14,6,Mișcări!$B$5:$B$2004/(Mișcări!$D$5:$D$2004=B92),1),""))</f>
        <v/>
      </c>
      <c r="O92" s="11" t="str">
        <f t="shared" si="13"/>
        <v/>
      </c>
      <c r="P92" s="21" t="str">
        <f t="shared" si="14"/>
        <v/>
      </c>
    </row>
    <row r="93" spans="2:16" x14ac:dyDescent="0.2">
      <c r="B93" s="11" t="str">
        <f>IF(Produse!B93="","",Produse!B93)</f>
        <v/>
      </c>
      <c r="C93" s="10" t="str">
        <f>IF(B93="","",Produse!C93)</f>
        <v/>
      </c>
      <c r="D93" s="10" t="str">
        <f>IF(B93="","",Produse!D93)</f>
        <v/>
      </c>
      <c r="E93" s="11" t="str">
        <f>IF(B93="","",Produse!E93)</f>
        <v/>
      </c>
      <c r="F93" s="17" t="str">
        <f>IF(B93="","",SUMIFS(Mișcări!$K$5:$K$2004,Mișcări!$D$5:$D$2004,B93,Mișcări!$B$5:$B$2004,"&lt;="&amp;Azi))</f>
        <v/>
      </c>
      <c r="G93" s="18" t="str">
        <f>IF(B93="","",IFERROR(SUMIFS(Mișcări!$L$5:$L$2004,Mișcări!$D$5:$D$2004,B93)/SUMIFS(Mișcări!$F$5:$F$2004,Mișcări!$D$5:$D$2004,B93,Mișcări!$J$5:$J$2004,1,Mișcări!$G$5:$G$2004,"&gt;0"),Produse!G93))</f>
        <v/>
      </c>
      <c r="H93" s="18" t="str">
        <f t="shared" si="10"/>
        <v/>
      </c>
      <c r="I93" s="21" t="str">
        <f>IF(B93="","",Produse!I93)</f>
        <v/>
      </c>
      <c r="J93" s="21" t="str">
        <f>IF(B93="","",Produse!J93)</f>
        <v/>
      </c>
      <c r="K93" s="21" t="str">
        <f>IF(B93="","",-SUMIFS(Mișcări!$K$5:$K$2004,Mișcări!$D$5:$D$2004,B93,Mișcări!$J$5:$J$2004,-1,Mișcări!$B$5:$B$2004,"&gt;"&amp;(Azi-ZileConsum),Mișcări!$B$5:$B$2004,"&lt;="&amp;Azi))</f>
        <v/>
      </c>
      <c r="L93" s="17" t="str">
        <f t="shared" si="11"/>
        <v/>
      </c>
      <c r="M93" s="11" t="str">
        <f t="shared" si="12"/>
        <v/>
      </c>
      <c r="N93" s="22" t="str">
        <f>IF(B93="","",IFERROR(_xlfn.AGGREGATE(14,6,Mișcări!$B$5:$B$2004/(Mișcări!$D$5:$D$2004=B93),1),""))</f>
        <v/>
      </c>
      <c r="O93" s="11" t="str">
        <f t="shared" si="13"/>
        <v/>
      </c>
      <c r="P93" s="21" t="str">
        <f t="shared" si="14"/>
        <v/>
      </c>
    </row>
    <row r="94" spans="2:16" x14ac:dyDescent="0.2">
      <c r="B94" s="11" t="str">
        <f>IF(Produse!B94="","",Produse!B94)</f>
        <v/>
      </c>
      <c r="C94" s="10" t="str">
        <f>IF(B94="","",Produse!C94)</f>
        <v/>
      </c>
      <c r="D94" s="10" t="str">
        <f>IF(B94="","",Produse!D94)</f>
        <v/>
      </c>
      <c r="E94" s="11" t="str">
        <f>IF(B94="","",Produse!E94)</f>
        <v/>
      </c>
      <c r="F94" s="17" t="str">
        <f>IF(B94="","",SUMIFS(Mișcări!$K$5:$K$2004,Mișcări!$D$5:$D$2004,B94,Mișcări!$B$5:$B$2004,"&lt;="&amp;Azi))</f>
        <v/>
      </c>
      <c r="G94" s="18" t="str">
        <f>IF(B94="","",IFERROR(SUMIFS(Mișcări!$L$5:$L$2004,Mișcări!$D$5:$D$2004,B94)/SUMIFS(Mișcări!$F$5:$F$2004,Mișcări!$D$5:$D$2004,B94,Mișcări!$J$5:$J$2004,1,Mișcări!$G$5:$G$2004,"&gt;0"),Produse!G94))</f>
        <v/>
      </c>
      <c r="H94" s="18" t="str">
        <f t="shared" si="10"/>
        <v/>
      </c>
      <c r="I94" s="21" t="str">
        <f>IF(B94="","",Produse!I94)</f>
        <v/>
      </c>
      <c r="J94" s="21" t="str">
        <f>IF(B94="","",Produse!J94)</f>
        <v/>
      </c>
      <c r="K94" s="21" t="str">
        <f>IF(B94="","",-SUMIFS(Mișcări!$K$5:$K$2004,Mișcări!$D$5:$D$2004,B94,Mișcări!$J$5:$J$2004,-1,Mișcări!$B$5:$B$2004,"&gt;"&amp;(Azi-ZileConsum),Mișcări!$B$5:$B$2004,"&lt;="&amp;Azi))</f>
        <v/>
      </c>
      <c r="L94" s="17" t="str">
        <f t="shared" si="11"/>
        <v/>
      </c>
      <c r="M94" s="11" t="str">
        <f t="shared" si="12"/>
        <v/>
      </c>
      <c r="N94" s="22" t="str">
        <f>IF(B94="","",IFERROR(_xlfn.AGGREGATE(14,6,Mișcări!$B$5:$B$2004/(Mișcări!$D$5:$D$2004=B94),1),""))</f>
        <v/>
      </c>
      <c r="O94" s="11" t="str">
        <f t="shared" si="13"/>
        <v/>
      </c>
      <c r="P94" s="21" t="str">
        <f t="shared" si="14"/>
        <v/>
      </c>
    </row>
    <row r="95" spans="2:16" x14ac:dyDescent="0.2">
      <c r="B95" s="11" t="str">
        <f>IF(Produse!B95="","",Produse!B95)</f>
        <v/>
      </c>
      <c r="C95" s="10" t="str">
        <f>IF(B95="","",Produse!C95)</f>
        <v/>
      </c>
      <c r="D95" s="10" t="str">
        <f>IF(B95="","",Produse!D95)</f>
        <v/>
      </c>
      <c r="E95" s="11" t="str">
        <f>IF(B95="","",Produse!E95)</f>
        <v/>
      </c>
      <c r="F95" s="17" t="str">
        <f>IF(B95="","",SUMIFS(Mișcări!$K$5:$K$2004,Mișcări!$D$5:$D$2004,B95,Mișcări!$B$5:$B$2004,"&lt;="&amp;Azi))</f>
        <v/>
      </c>
      <c r="G95" s="18" t="str">
        <f>IF(B95="","",IFERROR(SUMIFS(Mișcări!$L$5:$L$2004,Mișcări!$D$5:$D$2004,B95)/SUMIFS(Mișcări!$F$5:$F$2004,Mișcări!$D$5:$D$2004,B95,Mișcări!$J$5:$J$2004,1,Mișcări!$G$5:$G$2004,"&gt;0"),Produse!G95))</f>
        <v/>
      </c>
      <c r="H95" s="18" t="str">
        <f t="shared" si="10"/>
        <v/>
      </c>
      <c r="I95" s="21" t="str">
        <f>IF(B95="","",Produse!I95)</f>
        <v/>
      </c>
      <c r="J95" s="21" t="str">
        <f>IF(B95="","",Produse!J95)</f>
        <v/>
      </c>
      <c r="K95" s="21" t="str">
        <f>IF(B95="","",-SUMIFS(Mișcări!$K$5:$K$2004,Mișcări!$D$5:$D$2004,B95,Mișcări!$J$5:$J$2004,-1,Mișcări!$B$5:$B$2004,"&gt;"&amp;(Azi-ZileConsum),Mișcări!$B$5:$B$2004,"&lt;="&amp;Azi))</f>
        <v/>
      </c>
      <c r="L95" s="17" t="str">
        <f t="shared" si="11"/>
        <v/>
      </c>
      <c r="M95" s="11" t="str">
        <f t="shared" si="12"/>
        <v/>
      </c>
      <c r="N95" s="22" t="str">
        <f>IF(B95="","",IFERROR(_xlfn.AGGREGATE(14,6,Mișcări!$B$5:$B$2004/(Mișcări!$D$5:$D$2004=B95),1),""))</f>
        <v/>
      </c>
      <c r="O95" s="11" t="str">
        <f t="shared" si="13"/>
        <v/>
      </c>
      <c r="P95" s="21" t="str">
        <f t="shared" si="14"/>
        <v/>
      </c>
    </row>
    <row r="96" spans="2:16" x14ac:dyDescent="0.2">
      <c r="B96" s="11" t="str">
        <f>IF(Produse!B96="","",Produse!B96)</f>
        <v/>
      </c>
      <c r="C96" s="10" t="str">
        <f>IF(B96="","",Produse!C96)</f>
        <v/>
      </c>
      <c r="D96" s="10" t="str">
        <f>IF(B96="","",Produse!D96)</f>
        <v/>
      </c>
      <c r="E96" s="11" t="str">
        <f>IF(B96="","",Produse!E96)</f>
        <v/>
      </c>
      <c r="F96" s="17" t="str">
        <f>IF(B96="","",SUMIFS(Mișcări!$K$5:$K$2004,Mișcări!$D$5:$D$2004,B96,Mișcări!$B$5:$B$2004,"&lt;="&amp;Azi))</f>
        <v/>
      </c>
      <c r="G96" s="18" t="str">
        <f>IF(B96="","",IFERROR(SUMIFS(Mișcări!$L$5:$L$2004,Mișcări!$D$5:$D$2004,B96)/SUMIFS(Mișcări!$F$5:$F$2004,Mișcări!$D$5:$D$2004,B96,Mișcări!$J$5:$J$2004,1,Mișcări!$G$5:$G$2004,"&gt;0"),Produse!G96))</f>
        <v/>
      </c>
      <c r="H96" s="18" t="str">
        <f t="shared" si="10"/>
        <v/>
      </c>
      <c r="I96" s="21" t="str">
        <f>IF(B96="","",Produse!I96)</f>
        <v/>
      </c>
      <c r="J96" s="21" t="str">
        <f>IF(B96="","",Produse!J96)</f>
        <v/>
      </c>
      <c r="K96" s="21" t="str">
        <f>IF(B96="","",-SUMIFS(Mișcări!$K$5:$K$2004,Mișcări!$D$5:$D$2004,B96,Mișcări!$J$5:$J$2004,-1,Mișcări!$B$5:$B$2004,"&gt;"&amp;(Azi-ZileConsum),Mișcări!$B$5:$B$2004,"&lt;="&amp;Azi))</f>
        <v/>
      </c>
      <c r="L96" s="17" t="str">
        <f t="shared" si="11"/>
        <v/>
      </c>
      <c r="M96" s="11" t="str">
        <f t="shared" si="12"/>
        <v/>
      </c>
      <c r="N96" s="22" t="str">
        <f>IF(B96="","",IFERROR(_xlfn.AGGREGATE(14,6,Mișcări!$B$5:$B$2004/(Mișcări!$D$5:$D$2004=B96),1),""))</f>
        <v/>
      </c>
      <c r="O96" s="11" t="str">
        <f t="shared" si="13"/>
        <v/>
      </c>
      <c r="P96" s="21" t="str">
        <f t="shared" si="14"/>
        <v/>
      </c>
    </row>
    <row r="97" spans="2:16" x14ac:dyDescent="0.2">
      <c r="B97" s="11" t="str">
        <f>IF(Produse!B97="","",Produse!B97)</f>
        <v/>
      </c>
      <c r="C97" s="10" t="str">
        <f>IF(B97="","",Produse!C97)</f>
        <v/>
      </c>
      <c r="D97" s="10" t="str">
        <f>IF(B97="","",Produse!D97)</f>
        <v/>
      </c>
      <c r="E97" s="11" t="str">
        <f>IF(B97="","",Produse!E97)</f>
        <v/>
      </c>
      <c r="F97" s="17" t="str">
        <f>IF(B97="","",SUMIFS(Mișcări!$K$5:$K$2004,Mișcări!$D$5:$D$2004,B97,Mișcări!$B$5:$B$2004,"&lt;="&amp;Azi))</f>
        <v/>
      </c>
      <c r="G97" s="18" t="str">
        <f>IF(B97="","",IFERROR(SUMIFS(Mișcări!$L$5:$L$2004,Mișcări!$D$5:$D$2004,B97)/SUMIFS(Mișcări!$F$5:$F$2004,Mișcări!$D$5:$D$2004,B97,Mișcări!$J$5:$J$2004,1,Mișcări!$G$5:$G$2004,"&gt;0"),Produse!G97))</f>
        <v/>
      </c>
      <c r="H97" s="18" t="str">
        <f t="shared" si="10"/>
        <v/>
      </c>
      <c r="I97" s="21" t="str">
        <f>IF(B97="","",Produse!I97)</f>
        <v/>
      </c>
      <c r="J97" s="21" t="str">
        <f>IF(B97="","",Produse!J97)</f>
        <v/>
      </c>
      <c r="K97" s="21" t="str">
        <f>IF(B97="","",-SUMIFS(Mișcări!$K$5:$K$2004,Mișcări!$D$5:$D$2004,B97,Mișcări!$J$5:$J$2004,-1,Mișcări!$B$5:$B$2004,"&gt;"&amp;(Azi-ZileConsum),Mișcări!$B$5:$B$2004,"&lt;="&amp;Azi))</f>
        <v/>
      </c>
      <c r="L97" s="17" t="str">
        <f t="shared" si="11"/>
        <v/>
      </c>
      <c r="M97" s="11" t="str">
        <f t="shared" si="12"/>
        <v/>
      </c>
      <c r="N97" s="22" t="str">
        <f>IF(B97="","",IFERROR(_xlfn.AGGREGATE(14,6,Mișcări!$B$5:$B$2004/(Mișcări!$D$5:$D$2004=B97),1),""))</f>
        <v/>
      </c>
      <c r="O97" s="11" t="str">
        <f t="shared" si="13"/>
        <v/>
      </c>
      <c r="P97" s="21" t="str">
        <f t="shared" si="14"/>
        <v/>
      </c>
    </row>
    <row r="98" spans="2:16" x14ac:dyDescent="0.2">
      <c r="B98" s="11" t="str">
        <f>IF(Produse!B98="","",Produse!B98)</f>
        <v/>
      </c>
      <c r="C98" s="10" t="str">
        <f>IF(B98="","",Produse!C98)</f>
        <v/>
      </c>
      <c r="D98" s="10" t="str">
        <f>IF(B98="","",Produse!D98)</f>
        <v/>
      </c>
      <c r="E98" s="11" t="str">
        <f>IF(B98="","",Produse!E98)</f>
        <v/>
      </c>
      <c r="F98" s="17" t="str">
        <f>IF(B98="","",SUMIFS(Mișcări!$K$5:$K$2004,Mișcări!$D$5:$D$2004,B98,Mișcări!$B$5:$B$2004,"&lt;="&amp;Azi))</f>
        <v/>
      </c>
      <c r="G98" s="18" t="str">
        <f>IF(B98="","",IFERROR(SUMIFS(Mișcări!$L$5:$L$2004,Mișcări!$D$5:$D$2004,B98)/SUMIFS(Mișcări!$F$5:$F$2004,Mișcări!$D$5:$D$2004,B98,Mișcări!$J$5:$J$2004,1,Mișcări!$G$5:$G$2004,"&gt;0"),Produse!G98))</f>
        <v/>
      </c>
      <c r="H98" s="18" t="str">
        <f t="shared" si="10"/>
        <v/>
      </c>
      <c r="I98" s="21" t="str">
        <f>IF(B98="","",Produse!I98)</f>
        <v/>
      </c>
      <c r="J98" s="21" t="str">
        <f>IF(B98="","",Produse!J98)</f>
        <v/>
      </c>
      <c r="K98" s="21" t="str">
        <f>IF(B98="","",-SUMIFS(Mișcări!$K$5:$K$2004,Mișcări!$D$5:$D$2004,B98,Mișcări!$J$5:$J$2004,-1,Mișcări!$B$5:$B$2004,"&gt;"&amp;(Azi-ZileConsum),Mișcări!$B$5:$B$2004,"&lt;="&amp;Azi))</f>
        <v/>
      </c>
      <c r="L98" s="17" t="str">
        <f t="shared" si="11"/>
        <v/>
      </c>
      <c r="M98" s="11" t="str">
        <f t="shared" si="12"/>
        <v/>
      </c>
      <c r="N98" s="22" t="str">
        <f>IF(B98="","",IFERROR(_xlfn.AGGREGATE(14,6,Mișcări!$B$5:$B$2004/(Mișcări!$D$5:$D$2004=B98),1),""))</f>
        <v/>
      </c>
      <c r="O98" s="11" t="str">
        <f t="shared" si="13"/>
        <v/>
      </c>
      <c r="P98" s="21" t="str">
        <f t="shared" si="14"/>
        <v/>
      </c>
    </row>
    <row r="99" spans="2:16" x14ac:dyDescent="0.2">
      <c r="B99" s="11" t="str">
        <f>IF(Produse!B99="","",Produse!B99)</f>
        <v/>
      </c>
      <c r="C99" s="10" t="str">
        <f>IF(B99="","",Produse!C99)</f>
        <v/>
      </c>
      <c r="D99" s="10" t="str">
        <f>IF(B99="","",Produse!D99)</f>
        <v/>
      </c>
      <c r="E99" s="11" t="str">
        <f>IF(B99="","",Produse!E99)</f>
        <v/>
      </c>
      <c r="F99" s="17" t="str">
        <f>IF(B99="","",SUMIFS(Mișcări!$K$5:$K$2004,Mișcări!$D$5:$D$2004,B99,Mișcări!$B$5:$B$2004,"&lt;="&amp;Azi))</f>
        <v/>
      </c>
      <c r="G99" s="18" t="str">
        <f>IF(B99="","",IFERROR(SUMIFS(Mișcări!$L$5:$L$2004,Mișcări!$D$5:$D$2004,B99)/SUMIFS(Mișcări!$F$5:$F$2004,Mișcări!$D$5:$D$2004,B99,Mișcări!$J$5:$J$2004,1,Mișcări!$G$5:$G$2004,"&gt;0"),Produse!G99))</f>
        <v/>
      </c>
      <c r="H99" s="18" t="str">
        <f t="shared" si="10"/>
        <v/>
      </c>
      <c r="I99" s="21" t="str">
        <f>IF(B99="","",Produse!I99)</f>
        <v/>
      </c>
      <c r="J99" s="21" t="str">
        <f>IF(B99="","",Produse!J99)</f>
        <v/>
      </c>
      <c r="K99" s="21" t="str">
        <f>IF(B99="","",-SUMIFS(Mișcări!$K$5:$K$2004,Mișcări!$D$5:$D$2004,B99,Mișcări!$J$5:$J$2004,-1,Mișcări!$B$5:$B$2004,"&gt;"&amp;(Azi-ZileConsum),Mișcări!$B$5:$B$2004,"&lt;="&amp;Azi))</f>
        <v/>
      </c>
      <c r="L99" s="17" t="str">
        <f t="shared" si="11"/>
        <v/>
      </c>
      <c r="M99" s="11" t="str">
        <f t="shared" si="12"/>
        <v/>
      </c>
      <c r="N99" s="22" t="str">
        <f>IF(B99="","",IFERROR(_xlfn.AGGREGATE(14,6,Mișcări!$B$5:$B$2004/(Mișcări!$D$5:$D$2004=B99),1),""))</f>
        <v/>
      </c>
      <c r="O99" s="11" t="str">
        <f t="shared" si="13"/>
        <v/>
      </c>
      <c r="P99" s="21" t="str">
        <f t="shared" si="14"/>
        <v/>
      </c>
    </row>
    <row r="100" spans="2:16" x14ac:dyDescent="0.2">
      <c r="B100" s="11" t="str">
        <f>IF(Produse!B100="","",Produse!B100)</f>
        <v/>
      </c>
      <c r="C100" s="10" t="str">
        <f>IF(B100="","",Produse!C100)</f>
        <v/>
      </c>
      <c r="D100" s="10" t="str">
        <f>IF(B100="","",Produse!D100)</f>
        <v/>
      </c>
      <c r="E100" s="11" t="str">
        <f>IF(B100="","",Produse!E100)</f>
        <v/>
      </c>
      <c r="F100" s="17" t="str">
        <f>IF(B100="","",SUMIFS(Mișcări!$K$5:$K$2004,Mișcări!$D$5:$D$2004,B100,Mișcări!$B$5:$B$2004,"&lt;="&amp;Azi))</f>
        <v/>
      </c>
      <c r="G100" s="18" t="str">
        <f>IF(B100="","",IFERROR(SUMIFS(Mișcări!$L$5:$L$2004,Mișcări!$D$5:$D$2004,B100)/SUMIFS(Mișcări!$F$5:$F$2004,Mișcări!$D$5:$D$2004,B100,Mișcări!$J$5:$J$2004,1,Mișcări!$G$5:$G$2004,"&gt;0"),Produse!G100))</f>
        <v/>
      </c>
      <c r="H100" s="18" t="str">
        <f t="shared" si="10"/>
        <v/>
      </c>
      <c r="I100" s="21" t="str">
        <f>IF(B100="","",Produse!I100)</f>
        <v/>
      </c>
      <c r="J100" s="21" t="str">
        <f>IF(B100="","",Produse!J100)</f>
        <v/>
      </c>
      <c r="K100" s="21" t="str">
        <f>IF(B100="","",-SUMIFS(Mișcări!$K$5:$K$2004,Mișcări!$D$5:$D$2004,B100,Mișcări!$J$5:$J$2004,-1,Mișcări!$B$5:$B$2004,"&gt;"&amp;(Azi-ZileConsum),Mișcări!$B$5:$B$2004,"&lt;="&amp;Azi))</f>
        <v/>
      </c>
      <c r="L100" s="17" t="str">
        <f t="shared" si="11"/>
        <v/>
      </c>
      <c r="M100" s="11" t="str">
        <f t="shared" si="12"/>
        <v/>
      </c>
      <c r="N100" s="22" t="str">
        <f>IF(B100="","",IFERROR(_xlfn.AGGREGATE(14,6,Mișcări!$B$5:$B$2004/(Mișcări!$D$5:$D$2004=B100),1),""))</f>
        <v/>
      </c>
      <c r="O100" s="11" t="str">
        <f t="shared" si="13"/>
        <v/>
      </c>
      <c r="P100" s="21" t="str">
        <f t="shared" si="14"/>
        <v/>
      </c>
    </row>
    <row r="101" spans="2:16" x14ac:dyDescent="0.2">
      <c r="B101" s="11" t="str">
        <f>IF(Produse!B101="","",Produse!B101)</f>
        <v/>
      </c>
      <c r="C101" s="10" t="str">
        <f>IF(B101="","",Produse!C101)</f>
        <v/>
      </c>
      <c r="D101" s="10" t="str">
        <f>IF(B101="","",Produse!D101)</f>
        <v/>
      </c>
      <c r="E101" s="11" t="str">
        <f>IF(B101="","",Produse!E101)</f>
        <v/>
      </c>
      <c r="F101" s="17" t="str">
        <f>IF(B101="","",SUMIFS(Mișcări!$K$5:$K$2004,Mișcări!$D$5:$D$2004,B101,Mișcări!$B$5:$B$2004,"&lt;="&amp;Azi))</f>
        <v/>
      </c>
      <c r="G101" s="18" t="str">
        <f>IF(B101="","",IFERROR(SUMIFS(Mișcări!$L$5:$L$2004,Mișcări!$D$5:$D$2004,B101)/SUMIFS(Mișcări!$F$5:$F$2004,Mișcări!$D$5:$D$2004,B101,Mișcări!$J$5:$J$2004,1,Mișcări!$G$5:$G$2004,"&gt;0"),Produse!G101))</f>
        <v/>
      </c>
      <c r="H101" s="18" t="str">
        <f t="shared" ref="H101:H132" si="15">IF(B101="","",ROUND(MAX(0,F101)*G101,2))</f>
        <v/>
      </c>
      <c r="I101" s="21" t="str">
        <f>IF(B101="","",Produse!I101)</f>
        <v/>
      </c>
      <c r="J101" s="21" t="str">
        <f>IF(B101="","",Produse!J101)</f>
        <v/>
      </c>
      <c r="K101" s="21" t="str">
        <f>IF(B101="","",-SUMIFS(Mișcări!$K$5:$K$2004,Mișcări!$D$5:$D$2004,B101,Mișcări!$J$5:$J$2004,-1,Mișcări!$B$5:$B$2004,"&gt;"&amp;(Azi-ZileConsum),Mișcări!$B$5:$B$2004,"&lt;="&amp;Azi))</f>
        <v/>
      </c>
      <c r="L101" s="17" t="str">
        <f t="shared" ref="L101:L132" si="16">IF(B101="","",K101/ZileConsum)</f>
        <v/>
      </c>
      <c r="M101" s="11" t="str">
        <f t="shared" ref="M101:M132" si="17">IF(B101="","",IF(N(L101)=0,"–",ROUND(MAX(0,F101)/L101,0)))</f>
        <v/>
      </c>
      <c r="N101" s="22" t="str">
        <f>IF(B101="","",IFERROR(_xlfn.AGGREGATE(14,6,Mișcări!$B$5:$B$2004/(Mișcări!$D$5:$D$2004=B101),1),""))</f>
        <v/>
      </c>
      <c r="O101" s="11" t="str">
        <f t="shared" ref="O101:O132" si="18">IF(B101="","",IF(F101&lt;=0,"Ruptură de stoc",IF(F101&lt;I101,"Sub stoc minim",IF(AND(N(J101)&gt;0,F101&gt;J101),"Exces de stoc",IF(AND(N101&lt;&gt;"",Azi-N101&gt;ZileMort),"Fără mișcare","OK")))))</f>
        <v/>
      </c>
      <c r="P101" s="21" t="str">
        <f t="shared" ref="P101:P132" si="19">IF(B101="","",IF(F101&lt;I101,MAX(0,J101-MAX(0,F101)),0))</f>
        <v/>
      </c>
    </row>
    <row r="102" spans="2:16" x14ac:dyDescent="0.2">
      <c r="B102" s="11" t="str">
        <f>IF(Produse!B102="","",Produse!B102)</f>
        <v/>
      </c>
      <c r="C102" s="10" t="str">
        <f>IF(B102="","",Produse!C102)</f>
        <v/>
      </c>
      <c r="D102" s="10" t="str">
        <f>IF(B102="","",Produse!D102)</f>
        <v/>
      </c>
      <c r="E102" s="11" t="str">
        <f>IF(B102="","",Produse!E102)</f>
        <v/>
      </c>
      <c r="F102" s="17" t="str">
        <f>IF(B102="","",SUMIFS(Mișcări!$K$5:$K$2004,Mișcări!$D$5:$D$2004,B102,Mișcări!$B$5:$B$2004,"&lt;="&amp;Azi))</f>
        <v/>
      </c>
      <c r="G102" s="18" t="str">
        <f>IF(B102="","",IFERROR(SUMIFS(Mișcări!$L$5:$L$2004,Mișcări!$D$5:$D$2004,B102)/SUMIFS(Mișcări!$F$5:$F$2004,Mișcări!$D$5:$D$2004,B102,Mișcări!$J$5:$J$2004,1,Mișcări!$G$5:$G$2004,"&gt;0"),Produse!G102))</f>
        <v/>
      </c>
      <c r="H102" s="18" t="str">
        <f t="shared" si="15"/>
        <v/>
      </c>
      <c r="I102" s="21" t="str">
        <f>IF(B102="","",Produse!I102)</f>
        <v/>
      </c>
      <c r="J102" s="21" t="str">
        <f>IF(B102="","",Produse!J102)</f>
        <v/>
      </c>
      <c r="K102" s="21" t="str">
        <f>IF(B102="","",-SUMIFS(Mișcări!$K$5:$K$2004,Mișcări!$D$5:$D$2004,B102,Mișcări!$J$5:$J$2004,-1,Mișcări!$B$5:$B$2004,"&gt;"&amp;(Azi-ZileConsum),Mișcări!$B$5:$B$2004,"&lt;="&amp;Azi))</f>
        <v/>
      </c>
      <c r="L102" s="17" t="str">
        <f t="shared" si="16"/>
        <v/>
      </c>
      <c r="M102" s="11" t="str">
        <f t="shared" si="17"/>
        <v/>
      </c>
      <c r="N102" s="22" t="str">
        <f>IF(B102="","",IFERROR(_xlfn.AGGREGATE(14,6,Mișcări!$B$5:$B$2004/(Mișcări!$D$5:$D$2004=B102),1),""))</f>
        <v/>
      </c>
      <c r="O102" s="11" t="str">
        <f t="shared" si="18"/>
        <v/>
      </c>
      <c r="P102" s="21" t="str">
        <f t="shared" si="19"/>
        <v/>
      </c>
    </row>
    <row r="103" spans="2:16" x14ac:dyDescent="0.2">
      <c r="B103" s="11" t="str">
        <f>IF(Produse!B103="","",Produse!B103)</f>
        <v/>
      </c>
      <c r="C103" s="10" t="str">
        <f>IF(B103="","",Produse!C103)</f>
        <v/>
      </c>
      <c r="D103" s="10" t="str">
        <f>IF(B103="","",Produse!D103)</f>
        <v/>
      </c>
      <c r="E103" s="11" t="str">
        <f>IF(B103="","",Produse!E103)</f>
        <v/>
      </c>
      <c r="F103" s="17" t="str">
        <f>IF(B103="","",SUMIFS(Mișcări!$K$5:$K$2004,Mișcări!$D$5:$D$2004,B103,Mișcări!$B$5:$B$2004,"&lt;="&amp;Azi))</f>
        <v/>
      </c>
      <c r="G103" s="18" t="str">
        <f>IF(B103="","",IFERROR(SUMIFS(Mișcări!$L$5:$L$2004,Mișcări!$D$5:$D$2004,B103)/SUMIFS(Mișcări!$F$5:$F$2004,Mișcări!$D$5:$D$2004,B103,Mișcări!$J$5:$J$2004,1,Mișcări!$G$5:$G$2004,"&gt;0"),Produse!G103))</f>
        <v/>
      </c>
      <c r="H103" s="18" t="str">
        <f t="shared" si="15"/>
        <v/>
      </c>
      <c r="I103" s="21" t="str">
        <f>IF(B103="","",Produse!I103)</f>
        <v/>
      </c>
      <c r="J103" s="21" t="str">
        <f>IF(B103="","",Produse!J103)</f>
        <v/>
      </c>
      <c r="K103" s="21" t="str">
        <f>IF(B103="","",-SUMIFS(Mișcări!$K$5:$K$2004,Mișcări!$D$5:$D$2004,B103,Mișcări!$J$5:$J$2004,-1,Mișcări!$B$5:$B$2004,"&gt;"&amp;(Azi-ZileConsum),Mișcări!$B$5:$B$2004,"&lt;="&amp;Azi))</f>
        <v/>
      </c>
      <c r="L103" s="17" t="str">
        <f t="shared" si="16"/>
        <v/>
      </c>
      <c r="M103" s="11" t="str">
        <f t="shared" si="17"/>
        <v/>
      </c>
      <c r="N103" s="22" t="str">
        <f>IF(B103="","",IFERROR(_xlfn.AGGREGATE(14,6,Mișcări!$B$5:$B$2004/(Mișcări!$D$5:$D$2004=B103),1),""))</f>
        <v/>
      </c>
      <c r="O103" s="11" t="str">
        <f t="shared" si="18"/>
        <v/>
      </c>
      <c r="P103" s="21" t="str">
        <f t="shared" si="19"/>
        <v/>
      </c>
    </row>
    <row r="104" spans="2:16" x14ac:dyDescent="0.2">
      <c r="B104" s="11" t="str">
        <f>IF(Produse!B104="","",Produse!B104)</f>
        <v/>
      </c>
      <c r="C104" s="10" t="str">
        <f>IF(B104="","",Produse!C104)</f>
        <v/>
      </c>
      <c r="D104" s="10" t="str">
        <f>IF(B104="","",Produse!D104)</f>
        <v/>
      </c>
      <c r="E104" s="11" t="str">
        <f>IF(B104="","",Produse!E104)</f>
        <v/>
      </c>
      <c r="F104" s="17" t="str">
        <f>IF(B104="","",SUMIFS(Mișcări!$K$5:$K$2004,Mișcări!$D$5:$D$2004,B104,Mișcări!$B$5:$B$2004,"&lt;="&amp;Azi))</f>
        <v/>
      </c>
      <c r="G104" s="18" t="str">
        <f>IF(B104="","",IFERROR(SUMIFS(Mișcări!$L$5:$L$2004,Mișcări!$D$5:$D$2004,B104)/SUMIFS(Mișcări!$F$5:$F$2004,Mișcări!$D$5:$D$2004,B104,Mișcări!$J$5:$J$2004,1,Mișcări!$G$5:$G$2004,"&gt;0"),Produse!G104))</f>
        <v/>
      </c>
      <c r="H104" s="18" t="str">
        <f t="shared" si="15"/>
        <v/>
      </c>
      <c r="I104" s="21" t="str">
        <f>IF(B104="","",Produse!I104)</f>
        <v/>
      </c>
      <c r="J104" s="21" t="str">
        <f>IF(B104="","",Produse!J104)</f>
        <v/>
      </c>
      <c r="K104" s="21" t="str">
        <f>IF(B104="","",-SUMIFS(Mișcări!$K$5:$K$2004,Mișcări!$D$5:$D$2004,B104,Mișcări!$J$5:$J$2004,-1,Mișcări!$B$5:$B$2004,"&gt;"&amp;(Azi-ZileConsum),Mișcări!$B$5:$B$2004,"&lt;="&amp;Azi))</f>
        <v/>
      </c>
      <c r="L104" s="17" t="str">
        <f t="shared" si="16"/>
        <v/>
      </c>
      <c r="M104" s="11" t="str">
        <f t="shared" si="17"/>
        <v/>
      </c>
      <c r="N104" s="22" t="str">
        <f>IF(B104="","",IFERROR(_xlfn.AGGREGATE(14,6,Mișcări!$B$5:$B$2004/(Mișcări!$D$5:$D$2004=B104),1),""))</f>
        <v/>
      </c>
      <c r="O104" s="11" t="str">
        <f t="shared" si="18"/>
        <v/>
      </c>
      <c r="P104" s="21" t="str">
        <f t="shared" si="19"/>
        <v/>
      </c>
    </row>
    <row r="105" spans="2:16" x14ac:dyDescent="0.2">
      <c r="B105" s="11" t="str">
        <f>IF(Produse!B105="","",Produse!B105)</f>
        <v/>
      </c>
      <c r="C105" s="10" t="str">
        <f>IF(B105="","",Produse!C105)</f>
        <v/>
      </c>
      <c r="D105" s="10" t="str">
        <f>IF(B105="","",Produse!D105)</f>
        <v/>
      </c>
      <c r="E105" s="11" t="str">
        <f>IF(B105="","",Produse!E105)</f>
        <v/>
      </c>
      <c r="F105" s="17" t="str">
        <f>IF(B105="","",SUMIFS(Mișcări!$K$5:$K$2004,Mișcări!$D$5:$D$2004,B105,Mișcări!$B$5:$B$2004,"&lt;="&amp;Azi))</f>
        <v/>
      </c>
      <c r="G105" s="18" t="str">
        <f>IF(B105="","",IFERROR(SUMIFS(Mișcări!$L$5:$L$2004,Mișcări!$D$5:$D$2004,B105)/SUMIFS(Mișcări!$F$5:$F$2004,Mișcări!$D$5:$D$2004,B105,Mișcări!$J$5:$J$2004,1,Mișcări!$G$5:$G$2004,"&gt;0"),Produse!G105))</f>
        <v/>
      </c>
      <c r="H105" s="18" t="str">
        <f t="shared" si="15"/>
        <v/>
      </c>
      <c r="I105" s="21" t="str">
        <f>IF(B105="","",Produse!I105)</f>
        <v/>
      </c>
      <c r="J105" s="21" t="str">
        <f>IF(B105="","",Produse!J105)</f>
        <v/>
      </c>
      <c r="K105" s="21" t="str">
        <f>IF(B105="","",-SUMIFS(Mișcări!$K$5:$K$2004,Mișcări!$D$5:$D$2004,B105,Mișcări!$J$5:$J$2004,-1,Mișcări!$B$5:$B$2004,"&gt;"&amp;(Azi-ZileConsum),Mișcări!$B$5:$B$2004,"&lt;="&amp;Azi))</f>
        <v/>
      </c>
      <c r="L105" s="17" t="str">
        <f t="shared" si="16"/>
        <v/>
      </c>
      <c r="M105" s="11" t="str">
        <f t="shared" si="17"/>
        <v/>
      </c>
      <c r="N105" s="22" t="str">
        <f>IF(B105="","",IFERROR(_xlfn.AGGREGATE(14,6,Mișcări!$B$5:$B$2004/(Mișcări!$D$5:$D$2004=B105),1),""))</f>
        <v/>
      </c>
      <c r="O105" s="11" t="str">
        <f t="shared" si="18"/>
        <v/>
      </c>
      <c r="P105" s="21" t="str">
        <f t="shared" si="19"/>
        <v/>
      </c>
    </row>
    <row r="106" spans="2:16" x14ac:dyDescent="0.2">
      <c r="B106" s="11" t="str">
        <f>IF(Produse!B106="","",Produse!B106)</f>
        <v/>
      </c>
      <c r="C106" s="10" t="str">
        <f>IF(B106="","",Produse!C106)</f>
        <v/>
      </c>
      <c r="D106" s="10" t="str">
        <f>IF(B106="","",Produse!D106)</f>
        <v/>
      </c>
      <c r="E106" s="11" t="str">
        <f>IF(B106="","",Produse!E106)</f>
        <v/>
      </c>
      <c r="F106" s="17" t="str">
        <f>IF(B106="","",SUMIFS(Mișcări!$K$5:$K$2004,Mișcări!$D$5:$D$2004,B106,Mișcări!$B$5:$B$2004,"&lt;="&amp;Azi))</f>
        <v/>
      </c>
      <c r="G106" s="18" t="str">
        <f>IF(B106="","",IFERROR(SUMIFS(Mișcări!$L$5:$L$2004,Mișcări!$D$5:$D$2004,B106)/SUMIFS(Mișcări!$F$5:$F$2004,Mișcări!$D$5:$D$2004,B106,Mișcări!$J$5:$J$2004,1,Mișcări!$G$5:$G$2004,"&gt;0"),Produse!G106))</f>
        <v/>
      </c>
      <c r="H106" s="18" t="str">
        <f t="shared" si="15"/>
        <v/>
      </c>
      <c r="I106" s="21" t="str">
        <f>IF(B106="","",Produse!I106)</f>
        <v/>
      </c>
      <c r="J106" s="21" t="str">
        <f>IF(B106="","",Produse!J106)</f>
        <v/>
      </c>
      <c r="K106" s="21" t="str">
        <f>IF(B106="","",-SUMIFS(Mișcări!$K$5:$K$2004,Mișcări!$D$5:$D$2004,B106,Mișcări!$J$5:$J$2004,-1,Mișcări!$B$5:$B$2004,"&gt;"&amp;(Azi-ZileConsum),Mișcări!$B$5:$B$2004,"&lt;="&amp;Azi))</f>
        <v/>
      </c>
      <c r="L106" s="17" t="str">
        <f t="shared" si="16"/>
        <v/>
      </c>
      <c r="M106" s="11" t="str">
        <f t="shared" si="17"/>
        <v/>
      </c>
      <c r="N106" s="22" t="str">
        <f>IF(B106="","",IFERROR(_xlfn.AGGREGATE(14,6,Mișcări!$B$5:$B$2004/(Mișcări!$D$5:$D$2004=B106),1),""))</f>
        <v/>
      </c>
      <c r="O106" s="11" t="str">
        <f t="shared" si="18"/>
        <v/>
      </c>
      <c r="P106" s="21" t="str">
        <f t="shared" si="19"/>
        <v/>
      </c>
    </row>
    <row r="107" spans="2:16" x14ac:dyDescent="0.2">
      <c r="B107" s="11" t="str">
        <f>IF(Produse!B107="","",Produse!B107)</f>
        <v/>
      </c>
      <c r="C107" s="10" t="str">
        <f>IF(B107="","",Produse!C107)</f>
        <v/>
      </c>
      <c r="D107" s="10" t="str">
        <f>IF(B107="","",Produse!D107)</f>
        <v/>
      </c>
      <c r="E107" s="11" t="str">
        <f>IF(B107="","",Produse!E107)</f>
        <v/>
      </c>
      <c r="F107" s="17" t="str">
        <f>IF(B107="","",SUMIFS(Mișcări!$K$5:$K$2004,Mișcări!$D$5:$D$2004,B107,Mișcări!$B$5:$B$2004,"&lt;="&amp;Azi))</f>
        <v/>
      </c>
      <c r="G107" s="18" t="str">
        <f>IF(B107="","",IFERROR(SUMIFS(Mișcări!$L$5:$L$2004,Mișcări!$D$5:$D$2004,B107)/SUMIFS(Mișcări!$F$5:$F$2004,Mișcări!$D$5:$D$2004,B107,Mișcări!$J$5:$J$2004,1,Mișcări!$G$5:$G$2004,"&gt;0"),Produse!G107))</f>
        <v/>
      </c>
      <c r="H107" s="18" t="str">
        <f t="shared" si="15"/>
        <v/>
      </c>
      <c r="I107" s="21" t="str">
        <f>IF(B107="","",Produse!I107)</f>
        <v/>
      </c>
      <c r="J107" s="21" t="str">
        <f>IF(B107="","",Produse!J107)</f>
        <v/>
      </c>
      <c r="K107" s="21" t="str">
        <f>IF(B107="","",-SUMIFS(Mișcări!$K$5:$K$2004,Mișcări!$D$5:$D$2004,B107,Mișcări!$J$5:$J$2004,-1,Mișcări!$B$5:$B$2004,"&gt;"&amp;(Azi-ZileConsum),Mișcări!$B$5:$B$2004,"&lt;="&amp;Azi))</f>
        <v/>
      </c>
      <c r="L107" s="17" t="str">
        <f t="shared" si="16"/>
        <v/>
      </c>
      <c r="M107" s="11" t="str">
        <f t="shared" si="17"/>
        <v/>
      </c>
      <c r="N107" s="22" t="str">
        <f>IF(B107="","",IFERROR(_xlfn.AGGREGATE(14,6,Mișcări!$B$5:$B$2004/(Mișcări!$D$5:$D$2004=B107),1),""))</f>
        <v/>
      </c>
      <c r="O107" s="11" t="str">
        <f t="shared" si="18"/>
        <v/>
      </c>
      <c r="P107" s="21" t="str">
        <f t="shared" si="19"/>
        <v/>
      </c>
    </row>
    <row r="108" spans="2:16" x14ac:dyDescent="0.2">
      <c r="B108" s="11" t="str">
        <f>IF(Produse!B108="","",Produse!B108)</f>
        <v/>
      </c>
      <c r="C108" s="10" t="str">
        <f>IF(B108="","",Produse!C108)</f>
        <v/>
      </c>
      <c r="D108" s="10" t="str">
        <f>IF(B108="","",Produse!D108)</f>
        <v/>
      </c>
      <c r="E108" s="11" t="str">
        <f>IF(B108="","",Produse!E108)</f>
        <v/>
      </c>
      <c r="F108" s="17" t="str">
        <f>IF(B108="","",SUMIFS(Mișcări!$K$5:$K$2004,Mișcări!$D$5:$D$2004,B108,Mișcări!$B$5:$B$2004,"&lt;="&amp;Azi))</f>
        <v/>
      </c>
      <c r="G108" s="18" t="str">
        <f>IF(B108="","",IFERROR(SUMIFS(Mișcări!$L$5:$L$2004,Mișcări!$D$5:$D$2004,B108)/SUMIFS(Mișcări!$F$5:$F$2004,Mișcări!$D$5:$D$2004,B108,Mișcări!$J$5:$J$2004,1,Mișcări!$G$5:$G$2004,"&gt;0"),Produse!G108))</f>
        <v/>
      </c>
      <c r="H108" s="18" t="str">
        <f t="shared" si="15"/>
        <v/>
      </c>
      <c r="I108" s="21" t="str">
        <f>IF(B108="","",Produse!I108)</f>
        <v/>
      </c>
      <c r="J108" s="21" t="str">
        <f>IF(B108="","",Produse!J108)</f>
        <v/>
      </c>
      <c r="K108" s="21" t="str">
        <f>IF(B108="","",-SUMIFS(Mișcări!$K$5:$K$2004,Mișcări!$D$5:$D$2004,B108,Mișcări!$J$5:$J$2004,-1,Mișcări!$B$5:$B$2004,"&gt;"&amp;(Azi-ZileConsum),Mișcări!$B$5:$B$2004,"&lt;="&amp;Azi))</f>
        <v/>
      </c>
      <c r="L108" s="17" t="str">
        <f t="shared" si="16"/>
        <v/>
      </c>
      <c r="M108" s="11" t="str">
        <f t="shared" si="17"/>
        <v/>
      </c>
      <c r="N108" s="22" t="str">
        <f>IF(B108="","",IFERROR(_xlfn.AGGREGATE(14,6,Mișcări!$B$5:$B$2004/(Mișcări!$D$5:$D$2004=B108),1),""))</f>
        <v/>
      </c>
      <c r="O108" s="11" t="str">
        <f t="shared" si="18"/>
        <v/>
      </c>
      <c r="P108" s="21" t="str">
        <f t="shared" si="19"/>
        <v/>
      </c>
    </row>
    <row r="109" spans="2:16" x14ac:dyDescent="0.2">
      <c r="B109" s="11" t="str">
        <f>IF(Produse!B109="","",Produse!B109)</f>
        <v/>
      </c>
      <c r="C109" s="10" t="str">
        <f>IF(B109="","",Produse!C109)</f>
        <v/>
      </c>
      <c r="D109" s="10" t="str">
        <f>IF(B109="","",Produse!D109)</f>
        <v/>
      </c>
      <c r="E109" s="11" t="str">
        <f>IF(B109="","",Produse!E109)</f>
        <v/>
      </c>
      <c r="F109" s="17" t="str">
        <f>IF(B109="","",SUMIFS(Mișcări!$K$5:$K$2004,Mișcări!$D$5:$D$2004,B109,Mișcări!$B$5:$B$2004,"&lt;="&amp;Azi))</f>
        <v/>
      </c>
      <c r="G109" s="18" t="str">
        <f>IF(B109="","",IFERROR(SUMIFS(Mișcări!$L$5:$L$2004,Mișcări!$D$5:$D$2004,B109)/SUMIFS(Mișcări!$F$5:$F$2004,Mișcări!$D$5:$D$2004,B109,Mișcări!$J$5:$J$2004,1,Mișcări!$G$5:$G$2004,"&gt;0"),Produse!G109))</f>
        <v/>
      </c>
      <c r="H109" s="18" t="str">
        <f t="shared" si="15"/>
        <v/>
      </c>
      <c r="I109" s="21" t="str">
        <f>IF(B109="","",Produse!I109)</f>
        <v/>
      </c>
      <c r="J109" s="21" t="str">
        <f>IF(B109="","",Produse!J109)</f>
        <v/>
      </c>
      <c r="K109" s="21" t="str">
        <f>IF(B109="","",-SUMIFS(Mișcări!$K$5:$K$2004,Mișcări!$D$5:$D$2004,B109,Mișcări!$J$5:$J$2004,-1,Mișcări!$B$5:$B$2004,"&gt;"&amp;(Azi-ZileConsum),Mișcări!$B$5:$B$2004,"&lt;="&amp;Azi))</f>
        <v/>
      </c>
      <c r="L109" s="17" t="str">
        <f t="shared" si="16"/>
        <v/>
      </c>
      <c r="M109" s="11" t="str">
        <f t="shared" si="17"/>
        <v/>
      </c>
      <c r="N109" s="22" t="str">
        <f>IF(B109="","",IFERROR(_xlfn.AGGREGATE(14,6,Mișcări!$B$5:$B$2004/(Mișcări!$D$5:$D$2004=B109),1),""))</f>
        <v/>
      </c>
      <c r="O109" s="11" t="str">
        <f t="shared" si="18"/>
        <v/>
      </c>
      <c r="P109" s="21" t="str">
        <f t="shared" si="19"/>
        <v/>
      </c>
    </row>
    <row r="110" spans="2:16" x14ac:dyDescent="0.2">
      <c r="B110" s="11" t="str">
        <f>IF(Produse!B110="","",Produse!B110)</f>
        <v/>
      </c>
      <c r="C110" s="10" t="str">
        <f>IF(B110="","",Produse!C110)</f>
        <v/>
      </c>
      <c r="D110" s="10" t="str">
        <f>IF(B110="","",Produse!D110)</f>
        <v/>
      </c>
      <c r="E110" s="11" t="str">
        <f>IF(B110="","",Produse!E110)</f>
        <v/>
      </c>
      <c r="F110" s="17" t="str">
        <f>IF(B110="","",SUMIFS(Mișcări!$K$5:$K$2004,Mișcări!$D$5:$D$2004,B110,Mișcări!$B$5:$B$2004,"&lt;="&amp;Azi))</f>
        <v/>
      </c>
      <c r="G110" s="18" t="str">
        <f>IF(B110="","",IFERROR(SUMIFS(Mișcări!$L$5:$L$2004,Mișcări!$D$5:$D$2004,B110)/SUMIFS(Mișcări!$F$5:$F$2004,Mișcări!$D$5:$D$2004,B110,Mișcări!$J$5:$J$2004,1,Mișcări!$G$5:$G$2004,"&gt;0"),Produse!G110))</f>
        <v/>
      </c>
      <c r="H110" s="18" t="str">
        <f t="shared" si="15"/>
        <v/>
      </c>
      <c r="I110" s="21" t="str">
        <f>IF(B110="","",Produse!I110)</f>
        <v/>
      </c>
      <c r="J110" s="21" t="str">
        <f>IF(B110="","",Produse!J110)</f>
        <v/>
      </c>
      <c r="K110" s="21" t="str">
        <f>IF(B110="","",-SUMIFS(Mișcări!$K$5:$K$2004,Mișcări!$D$5:$D$2004,B110,Mișcări!$J$5:$J$2004,-1,Mișcări!$B$5:$B$2004,"&gt;"&amp;(Azi-ZileConsum),Mișcări!$B$5:$B$2004,"&lt;="&amp;Azi))</f>
        <v/>
      </c>
      <c r="L110" s="17" t="str">
        <f t="shared" si="16"/>
        <v/>
      </c>
      <c r="M110" s="11" t="str">
        <f t="shared" si="17"/>
        <v/>
      </c>
      <c r="N110" s="22" t="str">
        <f>IF(B110="","",IFERROR(_xlfn.AGGREGATE(14,6,Mișcări!$B$5:$B$2004/(Mișcări!$D$5:$D$2004=B110),1),""))</f>
        <v/>
      </c>
      <c r="O110" s="11" t="str">
        <f t="shared" si="18"/>
        <v/>
      </c>
      <c r="P110" s="21" t="str">
        <f t="shared" si="19"/>
        <v/>
      </c>
    </row>
    <row r="111" spans="2:16" x14ac:dyDescent="0.2">
      <c r="B111" s="11" t="str">
        <f>IF(Produse!B111="","",Produse!B111)</f>
        <v/>
      </c>
      <c r="C111" s="10" t="str">
        <f>IF(B111="","",Produse!C111)</f>
        <v/>
      </c>
      <c r="D111" s="10" t="str">
        <f>IF(B111="","",Produse!D111)</f>
        <v/>
      </c>
      <c r="E111" s="11" t="str">
        <f>IF(B111="","",Produse!E111)</f>
        <v/>
      </c>
      <c r="F111" s="17" t="str">
        <f>IF(B111="","",SUMIFS(Mișcări!$K$5:$K$2004,Mișcări!$D$5:$D$2004,B111,Mișcări!$B$5:$B$2004,"&lt;="&amp;Azi))</f>
        <v/>
      </c>
      <c r="G111" s="18" t="str">
        <f>IF(B111="","",IFERROR(SUMIFS(Mișcări!$L$5:$L$2004,Mișcări!$D$5:$D$2004,B111)/SUMIFS(Mișcări!$F$5:$F$2004,Mișcări!$D$5:$D$2004,B111,Mișcări!$J$5:$J$2004,1,Mișcări!$G$5:$G$2004,"&gt;0"),Produse!G111))</f>
        <v/>
      </c>
      <c r="H111" s="18" t="str">
        <f t="shared" si="15"/>
        <v/>
      </c>
      <c r="I111" s="21" t="str">
        <f>IF(B111="","",Produse!I111)</f>
        <v/>
      </c>
      <c r="J111" s="21" t="str">
        <f>IF(B111="","",Produse!J111)</f>
        <v/>
      </c>
      <c r="K111" s="21" t="str">
        <f>IF(B111="","",-SUMIFS(Mișcări!$K$5:$K$2004,Mișcări!$D$5:$D$2004,B111,Mișcări!$J$5:$J$2004,-1,Mișcări!$B$5:$B$2004,"&gt;"&amp;(Azi-ZileConsum),Mișcări!$B$5:$B$2004,"&lt;="&amp;Azi))</f>
        <v/>
      </c>
      <c r="L111" s="17" t="str">
        <f t="shared" si="16"/>
        <v/>
      </c>
      <c r="M111" s="11" t="str">
        <f t="shared" si="17"/>
        <v/>
      </c>
      <c r="N111" s="22" t="str">
        <f>IF(B111="","",IFERROR(_xlfn.AGGREGATE(14,6,Mișcări!$B$5:$B$2004/(Mișcări!$D$5:$D$2004=B111),1),""))</f>
        <v/>
      </c>
      <c r="O111" s="11" t="str">
        <f t="shared" si="18"/>
        <v/>
      </c>
      <c r="P111" s="21" t="str">
        <f t="shared" si="19"/>
        <v/>
      </c>
    </row>
    <row r="112" spans="2:16" x14ac:dyDescent="0.2">
      <c r="B112" s="11" t="str">
        <f>IF(Produse!B112="","",Produse!B112)</f>
        <v/>
      </c>
      <c r="C112" s="10" t="str">
        <f>IF(B112="","",Produse!C112)</f>
        <v/>
      </c>
      <c r="D112" s="10" t="str">
        <f>IF(B112="","",Produse!D112)</f>
        <v/>
      </c>
      <c r="E112" s="11" t="str">
        <f>IF(B112="","",Produse!E112)</f>
        <v/>
      </c>
      <c r="F112" s="17" t="str">
        <f>IF(B112="","",SUMIFS(Mișcări!$K$5:$K$2004,Mișcări!$D$5:$D$2004,B112,Mișcări!$B$5:$B$2004,"&lt;="&amp;Azi))</f>
        <v/>
      </c>
      <c r="G112" s="18" t="str">
        <f>IF(B112="","",IFERROR(SUMIFS(Mișcări!$L$5:$L$2004,Mișcări!$D$5:$D$2004,B112)/SUMIFS(Mișcări!$F$5:$F$2004,Mișcări!$D$5:$D$2004,B112,Mișcări!$J$5:$J$2004,1,Mișcări!$G$5:$G$2004,"&gt;0"),Produse!G112))</f>
        <v/>
      </c>
      <c r="H112" s="18" t="str">
        <f t="shared" si="15"/>
        <v/>
      </c>
      <c r="I112" s="21" t="str">
        <f>IF(B112="","",Produse!I112)</f>
        <v/>
      </c>
      <c r="J112" s="21" t="str">
        <f>IF(B112="","",Produse!J112)</f>
        <v/>
      </c>
      <c r="K112" s="21" t="str">
        <f>IF(B112="","",-SUMIFS(Mișcări!$K$5:$K$2004,Mișcări!$D$5:$D$2004,B112,Mișcări!$J$5:$J$2004,-1,Mișcări!$B$5:$B$2004,"&gt;"&amp;(Azi-ZileConsum),Mișcări!$B$5:$B$2004,"&lt;="&amp;Azi))</f>
        <v/>
      </c>
      <c r="L112" s="17" t="str">
        <f t="shared" si="16"/>
        <v/>
      </c>
      <c r="M112" s="11" t="str">
        <f t="shared" si="17"/>
        <v/>
      </c>
      <c r="N112" s="22" t="str">
        <f>IF(B112="","",IFERROR(_xlfn.AGGREGATE(14,6,Mișcări!$B$5:$B$2004/(Mișcări!$D$5:$D$2004=B112),1),""))</f>
        <v/>
      </c>
      <c r="O112" s="11" t="str">
        <f t="shared" si="18"/>
        <v/>
      </c>
      <c r="P112" s="21" t="str">
        <f t="shared" si="19"/>
        <v/>
      </c>
    </row>
    <row r="113" spans="2:16" x14ac:dyDescent="0.2">
      <c r="B113" s="11" t="str">
        <f>IF(Produse!B113="","",Produse!B113)</f>
        <v/>
      </c>
      <c r="C113" s="10" t="str">
        <f>IF(B113="","",Produse!C113)</f>
        <v/>
      </c>
      <c r="D113" s="10" t="str">
        <f>IF(B113="","",Produse!D113)</f>
        <v/>
      </c>
      <c r="E113" s="11" t="str">
        <f>IF(B113="","",Produse!E113)</f>
        <v/>
      </c>
      <c r="F113" s="17" t="str">
        <f>IF(B113="","",SUMIFS(Mișcări!$K$5:$K$2004,Mișcări!$D$5:$D$2004,B113,Mișcări!$B$5:$B$2004,"&lt;="&amp;Azi))</f>
        <v/>
      </c>
      <c r="G113" s="18" t="str">
        <f>IF(B113="","",IFERROR(SUMIFS(Mișcări!$L$5:$L$2004,Mișcări!$D$5:$D$2004,B113)/SUMIFS(Mișcări!$F$5:$F$2004,Mișcări!$D$5:$D$2004,B113,Mișcări!$J$5:$J$2004,1,Mișcări!$G$5:$G$2004,"&gt;0"),Produse!G113))</f>
        <v/>
      </c>
      <c r="H113" s="18" t="str">
        <f t="shared" si="15"/>
        <v/>
      </c>
      <c r="I113" s="21" t="str">
        <f>IF(B113="","",Produse!I113)</f>
        <v/>
      </c>
      <c r="J113" s="21" t="str">
        <f>IF(B113="","",Produse!J113)</f>
        <v/>
      </c>
      <c r="K113" s="21" t="str">
        <f>IF(B113="","",-SUMIFS(Mișcări!$K$5:$K$2004,Mișcări!$D$5:$D$2004,B113,Mișcări!$J$5:$J$2004,-1,Mișcări!$B$5:$B$2004,"&gt;"&amp;(Azi-ZileConsum),Mișcări!$B$5:$B$2004,"&lt;="&amp;Azi))</f>
        <v/>
      </c>
      <c r="L113" s="17" t="str">
        <f t="shared" si="16"/>
        <v/>
      </c>
      <c r="M113" s="11" t="str">
        <f t="shared" si="17"/>
        <v/>
      </c>
      <c r="N113" s="22" t="str">
        <f>IF(B113="","",IFERROR(_xlfn.AGGREGATE(14,6,Mișcări!$B$5:$B$2004/(Mișcări!$D$5:$D$2004=B113),1),""))</f>
        <v/>
      </c>
      <c r="O113" s="11" t="str">
        <f t="shared" si="18"/>
        <v/>
      </c>
      <c r="P113" s="21" t="str">
        <f t="shared" si="19"/>
        <v/>
      </c>
    </row>
    <row r="114" spans="2:16" x14ac:dyDescent="0.2">
      <c r="B114" s="11" t="str">
        <f>IF(Produse!B114="","",Produse!B114)</f>
        <v/>
      </c>
      <c r="C114" s="10" t="str">
        <f>IF(B114="","",Produse!C114)</f>
        <v/>
      </c>
      <c r="D114" s="10" t="str">
        <f>IF(B114="","",Produse!D114)</f>
        <v/>
      </c>
      <c r="E114" s="11" t="str">
        <f>IF(B114="","",Produse!E114)</f>
        <v/>
      </c>
      <c r="F114" s="17" t="str">
        <f>IF(B114="","",SUMIFS(Mișcări!$K$5:$K$2004,Mișcări!$D$5:$D$2004,B114,Mișcări!$B$5:$B$2004,"&lt;="&amp;Azi))</f>
        <v/>
      </c>
      <c r="G114" s="18" t="str">
        <f>IF(B114="","",IFERROR(SUMIFS(Mișcări!$L$5:$L$2004,Mișcări!$D$5:$D$2004,B114)/SUMIFS(Mișcări!$F$5:$F$2004,Mișcări!$D$5:$D$2004,B114,Mișcări!$J$5:$J$2004,1,Mișcări!$G$5:$G$2004,"&gt;0"),Produse!G114))</f>
        <v/>
      </c>
      <c r="H114" s="18" t="str">
        <f t="shared" si="15"/>
        <v/>
      </c>
      <c r="I114" s="21" t="str">
        <f>IF(B114="","",Produse!I114)</f>
        <v/>
      </c>
      <c r="J114" s="21" t="str">
        <f>IF(B114="","",Produse!J114)</f>
        <v/>
      </c>
      <c r="K114" s="21" t="str">
        <f>IF(B114="","",-SUMIFS(Mișcări!$K$5:$K$2004,Mișcări!$D$5:$D$2004,B114,Mișcări!$J$5:$J$2004,-1,Mișcări!$B$5:$B$2004,"&gt;"&amp;(Azi-ZileConsum),Mișcări!$B$5:$B$2004,"&lt;="&amp;Azi))</f>
        <v/>
      </c>
      <c r="L114" s="17" t="str">
        <f t="shared" si="16"/>
        <v/>
      </c>
      <c r="M114" s="11" t="str">
        <f t="shared" si="17"/>
        <v/>
      </c>
      <c r="N114" s="22" t="str">
        <f>IF(B114="","",IFERROR(_xlfn.AGGREGATE(14,6,Mișcări!$B$5:$B$2004/(Mișcări!$D$5:$D$2004=B114),1),""))</f>
        <v/>
      </c>
      <c r="O114" s="11" t="str">
        <f t="shared" si="18"/>
        <v/>
      </c>
      <c r="P114" s="21" t="str">
        <f t="shared" si="19"/>
        <v/>
      </c>
    </row>
    <row r="115" spans="2:16" x14ac:dyDescent="0.2">
      <c r="B115" s="11" t="str">
        <f>IF(Produse!B115="","",Produse!B115)</f>
        <v/>
      </c>
      <c r="C115" s="10" t="str">
        <f>IF(B115="","",Produse!C115)</f>
        <v/>
      </c>
      <c r="D115" s="10" t="str">
        <f>IF(B115="","",Produse!D115)</f>
        <v/>
      </c>
      <c r="E115" s="11" t="str">
        <f>IF(B115="","",Produse!E115)</f>
        <v/>
      </c>
      <c r="F115" s="17" t="str">
        <f>IF(B115="","",SUMIFS(Mișcări!$K$5:$K$2004,Mișcări!$D$5:$D$2004,B115,Mișcări!$B$5:$B$2004,"&lt;="&amp;Azi))</f>
        <v/>
      </c>
      <c r="G115" s="18" t="str">
        <f>IF(B115="","",IFERROR(SUMIFS(Mișcări!$L$5:$L$2004,Mișcări!$D$5:$D$2004,B115)/SUMIFS(Mișcări!$F$5:$F$2004,Mișcări!$D$5:$D$2004,B115,Mișcări!$J$5:$J$2004,1,Mișcări!$G$5:$G$2004,"&gt;0"),Produse!G115))</f>
        <v/>
      </c>
      <c r="H115" s="18" t="str">
        <f t="shared" si="15"/>
        <v/>
      </c>
      <c r="I115" s="21" t="str">
        <f>IF(B115="","",Produse!I115)</f>
        <v/>
      </c>
      <c r="J115" s="21" t="str">
        <f>IF(B115="","",Produse!J115)</f>
        <v/>
      </c>
      <c r="K115" s="21" t="str">
        <f>IF(B115="","",-SUMIFS(Mișcări!$K$5:$K$2004,Mișcări!$D$5:$D$2004,B115,Mișcări!$J$5:$J$2004,-1,Mișcări!$B$5:$B$2004,"&gt;"&amp;(Azi-ZileConsum),Mișcări!$B$5:$B$2004,"&lt;="&amp;Azi))</f>
        <v/>
      </c>
      <c r="L115" s="17" t="str">
        <f t="shared" si="16"/>
        <v/>
      </c>
      <c r="M115" s="11" t="str">
        <f t="shared" si="17"/>
        <v/>
      </c>
      <c r="N115" s="22" t="str">
        <f>IF(B115="","",IFERROR(_xlfn.AGGREGATE(14,6,Mișcări!$B$5:$B$2004/(Mișcări!$D$5:$D$2004=B115),1),""))</f>
        <v/>
      </c>
      <c r="O115" s="11" t="str">
        <f t="shared" si="18"/>
        <v/>
      </c>
      <c r="P115" s="21" t="str">
        <f t="shared" si="19"/>
        <v/>
      </c>
    </row>
    <row r="116" spans="2:16" x14ac:dyDescent="0.2">
      <c r="B116" s="11" t="str">
        <f>IF(Produse!B116="","",Produse!B116)</f>
        <v/>
      </c>
      <c r="C116" s="10" t="str">
        <f>IF(B116="","",Produse!C116)</f>
        <v/>
      </c>
      <c r="D116" s="10" t="str">
        <f>IF(B116="","",Produse!D116)</f>
        <v/>
      </c>
      <c r="E116" s="11" t="str">
        <f>IF(B116="","",Produse!E116)</f>
        <v/>
      </c>
      <c r="F116" s="17" t="str">
        <f>IF(B116="","",SUMIFS(Mișcări!$K$5:$K$2004,Mișcări!$D$5:$D$2004,B116,Mișcări!$B$5:$B$2004,"&lt;="&amp;Azi))</f>
        <v/>
      </c>
      <c r="G116" s="18" t="str">
        <f>IF(B116="","",IFERROR(SUMIFS(Mișcări!$L$5:$L$2004,Mișcări!$D$5:$D$2004,B116)/SUMIFS(Mișcări!$F$5:$F$2004,Mișcări!$D$5:$D$2004,B116,Mișcări!$J$5:$J$2004,1,Mișcări!$G$5:$G$2004,"&gt;0"),Produse!G116))</f>
        <v/>
      </c>
      <c r="H116" s="18" t="str">
        <f t="shared" si="15"/>
        <v/>
      </c>
      <c r="I116" s="21" t="str">
        <f>IF(B116="","",Produse!I116)</f>
        <v/>
      </c>
      <c r="J116" s="21" t="str">
        <f>IF(B116="","",Produse!J116)</f>
        <v/>
      </c>
      <c r="K116" s="21" t="str">
        <f>IF(B116="","",-SUMIFS(Mișcări!$K$5:$K$2004,Mișcări!$D$5:$D$2004,B116,Mișcări!$J$5:$J$2004,-1,Mișcări!$B$5:$B$2004,"&gt;"&amp;(Azi-ZileConsum),Mișcări!$B$5:$B$2004,"&lt;="&amp;Azi))</f>
        <v/>
      </c>
      <c r="L116" s="17" t="str">
        <f t="shared" si="16"/>
        <v/>
      </c>
      <c r="M116" s="11" t="str">
        <f t="shared" si="17"/>
        <v/>
      </c>
      <c r="N116" s="22" t="str">
        <f>IF(B116="","",IFERROR(_xlfn.AGGREGATE(14,6,Mișcări!$B$5:$B$2004/(Mișcări!$D$5:$D$2004=B116),1),""))</f>
        <v/>
      </c>
      <c r="O116" s="11" t="str">
        <f t="shared" si="18"/>
        <v/>
      </c>
      <c r="P116" s="21" t="str">
        <f t="shared" si="19"/>
        <v/>
      </c>
    </row>
    <row r="117" spans="2:16" x14ac:dyDescent="0.2">
      <c r="B117" s="11" t="str">
        <f>IF(Produse!B117="","",Produse!B117)</f>
        <v/>
      </c>
      <c r="C117" s="10" t="str">
        <f>IF(B117="","",Produse!C117)</f>
        <v/>
      </c>
      <c r="D117" s="10" t="str">
        <f>IF(B117="","",Produse!D117)</f>
        <v/>
      </c>
      <c r="E117" s="11" t="str">
        <f>IF(B117="","",Produse!E117)</f>
        <v/>
      </c>
      <c r="F117" s="17" t="str">
        <f>IF(B117="","",SUMIFS(Mișcări!$K$5:$K$2004,Mișcări!$D$5:$D$2004,B117,Mișcări!$B$5:$B$2004,"&lt;="&amp;Azi))</f>
        <v/>
      </c>
      <c r="G117" s="18" t="str">
        <f>IF(B117="","",IFERROR(SUMIFS(Mișcări!$L$5:$L$2004,Mișcări!$D$5:$D$2004,B117)/SUMIFS(Mișcări!$F$5:$F$2004,Mișcări!$D$5:$D$2004,B117,Mișcări!$J$5:$J$2004,1,Mișcări!$G$5:$G$2004,"&gt;0"),Produse!G117))</f>
        <v/>
      </c>
      <c r="H117" s="18" t="str">
        <f t="shared" si="15"/>
        <v/>
      </c>
      <c r="I117" s="21" t="str">
        <f>IF(B117="","",Produse!I117)</f>
        <v/>
      </c>
      <c r="J117" s="21" t="str">
        <f>IF(B117="","",Produse!J117)</f>
        <v/>
      </c>
      <c r="K117" s="21" t="str">
        <f>IF(B117="","",-SUMIFS(Mișcări!$K$5:$K$2004,Mișcări!$D$5:$D$2004,B117,Mișcări!$J$5:$J$2004,-1,Mișcări!$B$5:$B$2004,"&gt;"&amp;(Azi-ZileConsum),Mișcări!$B$5:$B$2004,"&lt;="&amp;Azi))</f>
        <v/>
      </c>
      <c r="L117" s="17" t="str">
        <f t="shared" si="16"/>
        <v/>
      </c>
      <c r="M117" s="11" t="str">
        <f t="shared" si="17"/>
        <v/>
      </c>
      <c r="N117" s="22" t="str">
        <f>IF(B117="","",IFERROR(_xlfn.AGGREGATE(14,6,Mișcări!$B$5:$B$2004/(Mișcări!$D$5:$D$2004=B117),1),""))</f>
        <v/>
      </c>
      <c r="O117" s="11" t="str">
        <f t="shared" si="18"/>
        <v/>
      </c>
      <c r="P117" s="21" t="str">
        <f t="shared" si="19"/>
        <v/>
      </c>
    </row>
    <row r="118" spans="2:16" x14ac:dyDescent="0.2">
      <c r="B118" s="11" t="str">
        <f>IF(Produse!B118="","",Produse!B118)</f>
        <v/>
      </c>
      <c r="C118" s="10" t="str">
        <f>IF(B118="","",Produse!C118)</f>
        <v/>
      </c>
      <c r="D118" s="10" t="str">
        <f>IF(B118="","",Produse!D118)</f>
        <v/>
      </c>
      <c r="E118" s="11" t="str">
        <f>IF(B118="","",Produse!E118)</f>
        <v/>
      </c>
      <c r="F118" s="17" t="str">
        <f>IF(B118="","",SUMIFS(Mișcări!$K$5:$K$2004,Mișcări!$D$5:$D$2004,B118,Mișcări!$B$5:$B$2004,"&lt;="&amp;Azi))</f>
        <v/>
      </c>
      <c r="G118" s="18" t="str">
        <f>IF(B118="","",IFERROR(SUMIFS(Mișcări!$L$5:$L$2004,Mișcări!$D$5:$D$2004,B118)/SUMIFS(Mișcări!$F$5:$F$2004,Mișcări!$D$5:$D$2004,B118,Mișcări!$J$5:$J$2004,1,Mișcări!$G$5:$G$2004,"&gt;0"),Produse!G118))</f>
        <v/>
      </c>
      <c r="H118" s="18" t="str">
        <f t="shared" si="15"/>
        <v/>
      </c>
      <c r="I118" s="21" t="str">
        <f>IF(B118="","",Produse!I118)</f>
        <v/>
      </c>
      <c r="J118" s="21" t="str">
        <f>IF(B118="","",Produse!J118)</f>
        <v/>
      </c>
      <c r="K118" s="21" t="str">
        <f>IF(B118="","",-SUMIFS(Mișcări!$K$5:$K$2004,Mișcări!$D$5:$D$2004,B118,Mișcări!$J$5:$J$2004,-1,Mișcări!$B$5:$B$2004,"&gt;"&amp;(Azi-ZileConsum),Mișcări!$B$5:$B$2004,"&lt;="&amp;Azi))</f>
        <v/>
      </c>
      <c r="L118" s="17" t="str">
        <f t="shared" si="16"/>
        <v/>
      </c>
      <c r="M118" s="11" t="str">
        <f t="shared" si="17"/>
        <v/>
      </c>
      <c r="N118" s="22" t="str">
        <f>IF(B118="","",IFERROR(_xlfn.AGGREGATE(14,6,Mișcări!$B$5:$B$2004/(Mișcări!$D$5:$D$2004=B118),1),""))</f>
        <v/>
      </c>
      <c r="O118" s="11" t="str">
        <f t="shared" si="18"/>
        <v/>
      </c>
      <c r="P118" s="21" t="str">
        <f t="shared" si="19"/>
        <v/>
      </c>
    </row>
    <row r="119" spans="2:16" x14ac:dyDescent="0.2">
      <c r="B119" s="11" t="str">
        <f>IF(Produse!B119="","",Produse!B119)</f>
        <v/>
      </c>
      <c r="C119" s="10" t="str">
        <f>IF(B119="","",Produse!C119)</f>
        <v/>
      </c>
      <c r="D119" s="10" t="str">
        <f>IF(B119="","",Produse!D119)</f>
        <v/>
      </c>
      <c r="E119" s="11" t="str">
        <f>IF(B119="","",Produse!E119)</f>
        <v/>
      </c>
      <c r="F119" s="17" t="str">
        <f>IF(B119="","",SUMIFS(Mișcări!$K$5:$K$2004,Mișcări!$D$5:$D$2004,B119,Mișcări!$B$5:$B$2004,"&lt;="&amp;Azi))</f>
        <v/>
      </c>
      <c r="G119" s="18" t="str">
        <f>IF(B119="","",IFERROR(SUMIFS(Mișcări!$L$5:$L$2004,Mișcări!$D$5:$D$2004,B119)/SUMIFS(Mișcări!$F$5:$F$2004,Mișcări!$D$5:$D$2004,B119,Mișcări!$J$5:$J$2004,1,Mișcări!$G$5:$G$2004,"&gt;0"),Produse!G119))</f>
        <v/>
      </c>
      <c r="H119" s="18" t="str">
        <f t="shared" si="15"/>
        <v/>
      </c>
      <c r="I119" s="21" t="str">
        <f>IF(B119="","",Produse!I119)</f>
        <v/>
      </c>
      <c r="J119" s="21" t="str">
        <f>IF(B119="","",Produse!J119)</f>
        <v/>
      </c>
      <c r="K119" s="21" t="str">
        <f>IF(B119="","",-SUMIFS(Mișcări!$K$5:$K$2004,Mișcări!$D$5:$D$2004,B119,Mișcări!$J$5:$J$2004,-1,Mișcări!$B$5:$B$2004,"&gt;"&amp;(Azi-ZileConsum),Mișcări!$B$5:$B$2004,"&lt;="&amp;Azi))</f>
        <v/>
      </c>
      <c r="L119" s="17" t="str">
        <f t="shared" si="16"/>
        <v/>
      </c>
      <c r="M119" s="11" t="str">
        <f t="shared" si="17"/>
        <v/>
      </c>
      <c r="N119" s="22" t="str">
        <f>IF(B119="","",IFERROR(_xlfn.AGGREGATE(14,6,Mișcări!$B$5:$B$2004/(Mișcări!$D$5:$D$2004=B119),1),""))</f>
        <v/>
      </c>
      <c r="O119" s="11" t="str">
        <f t="shared" si="18"/>
        <v/>
      </c>
      <c r="P119" s="21" t="str">
        <f t="shared" si="19"/>
        <v/>
      </c>
    </row>
    <row r="120" spans="2:16" x14ac:dyDescent="0.2">
      <c r="B120" s="11" t="str">
        <f>IF(Produse!B120="","",Produse!B120)</f>
        <v/>
      </c>
      <c r="C120" s="10" t="str">
        <f>IF(B120="","",Produse!C120)</f>
        <v/>
      </c>
      <c r="D120" s="10" t="str">
        <f>IF(B120="","",Produse!D120)</f>
        <v/>
      </c>
      <c r="E120" s="11" t="str">
        <f>IF(B120="","",Produse!E120)</f>
        <v/>
      </c>
      <c r="F120" s="17" t="str">
        <f>IF(B120="","",SUMIFS(Mișcări!$K$5:$K$2004,Mișcări!$D$5:$D$2004,B120,Mișcări!$B$5:$B$2004,"&lt;="&amp;Azi))</f>
        <v/>
      </c>
      <c r="G120" s="18" t="str">
        <f>IF(B120="","",IFERROR(SUMIFS(Mișcări!$L$5:$L$2004,Mișcări!$D$5:$D$2004,B120)/SUMIFS(Mișcări!$F$5:$F$2004,Mișcări!$D$5:$D$2004,B120,Mișcări!$J$5:$J$2004,1,Mișcări!$G$5:$G$2004,"&gt;0"),Produse!G120))</f>
        <v/>
      </c>
      <c r="H120" s="18" t="str">
        <f t="shared" si="15"/>
        <v/>
      </c>
      <c r="I120" s="21" t="str">
        <f>IF(B120="","",Produse!I120)</f>
        <v/>
      </c>
      <c r="J120" s="21" t="str">
        <f>IF(B120="","",Produse!J120)</f>
        <v/>
      </c>
      <c r="K120" s="21" t="str">
        <f>IF(B120="","",-SUMIFS(Mișcări!$K$5:$K$2004,Mișcări!$D$5:$D$2004,B120,Mișcări!$J$5:$J$2004,-1,Mișcări!$B$5:$B$2004,"&gt;"&amp;(Azi-ZileConsum),Mișcări!$B$5:$B$2004,"&lt;="&amp;Azi))</f>
        <v/>
      </c>
      <c r="L120" s="17" t="str">
        <f t="shared" si="16"/>
        <v/>
      </c>
      <c r="M120" s="11" t="str">
        <f t="shared" si="17"/>
        <v/>
      </c>
      <c r="N120" s="22" t="str">
        <f>IF(B120="","",IFERROR(_xlfn.AGGREGATE(14,6,Mișcări!$B$5:$B$2004/(Mișcări!$D$5:$D$2004=B120),1),""))</f>
        <v/>
      </c>
      <c r="O120" s="11" t="str">
        <f t="shared" si="18"/>
        <v/>
      </c>
      <c r="P120" s="21" t="str">
        <f t="shared" si="19"/>
        <v/>
      </c>
    </row>
    <row r="121" spans="2:16" x14ac:dyDescent="0.2">
      <c r="B121" s="11" t="str">
        <f>IF(Produse!B121="","",Produse!B121)</f>
        <v/>
      </c>
      <c r="C121" s="10" t="str">
        <f>IF(B121="","",Produse!C121)</f>
        <v/>
      </c>
      <c r="D121" s="10" t="str">
        <f>IF(B121="","",Produse!D121)</f>
        <v/>
      </c>
      <c r="E121" s="11" t="str">
        <f>IF(B121="","",Produse!E121)</f>
        <v/>
      </c>
      <c r="F121" s="17" t="str">
        <f>IF(B121="","",SUMIFS(Mișcări!$K$5:$K$2004,Mișcări!$D$5:$D$2004,B121,Mișcări!$B$5:$B$2004,"&lt;="&amp;Azi))</f>
        <v/>
      </c>
      <c r="G121" s="18" t="str">
        <f>IF(B121="","",IFERROR(SUMIFS(Mișcări!$L$5:$L$2004,Mișcări!$D$5:$D$2004,B121)/SUMIFS(Mișcări!$F$5:$F$2004,Mișcări!$D$5:$D$2004,B121,Mișcări!$J$5:$J$2004,1,Mișcări!$G$5:$G$2004,"&gt;0"),Produse!G121))</f>
        <v/>
      </c>
      <c r="H121" s="18" t="str">
        <f t="shared" si="15"/>
        <v/>
      </c>
      <c r="I121" s="21" t="str">
        <f>IF(B121="","",Produse!I121)</f>
        <v/>
      </c>
      <c r="J121" s="21" t="str">
        <f>IF(B121="","",Produse!J121)</f>
        <v/>
      </c>
      <c r="K121" s="21" t="str">
        <f>IF(B121="","",-SUMIFS(Mișcări!$K$5:$K$2004,Mișcări!$D$5:$D$2004,B121,Mișcări!$J$5:$J$2004,-1,Mișcări!$B$5:$B$2004,"&gt;"&amp;(Azi-ZileConsum),Mișcări!$B$5:$B$2004,"&lt;="&amp;Azi))</f>
        <v/>
      </c>
      <c r="L121" s="17" t="str">
        <f t="shared" si="16"/>
        <v/>
      </c>
      <c r="M121" s="11" t="str">
        <f t="shared" si="17"/>
        <v/>
      </c>
      <c r="N121" s="22" t="str">
        <f>IF(B121="","",IFERROR(_xlfn.AGGREGATE(14,6,Mișcări!$B$5:$B$2004/(Mișcări!$D$5:$D$2004=B121),1),""))</f>
        <v/>
      </c>
      <c r="O121" s="11" t="str">
        <f t="shared" si="18"/>
        <v/>
      </c>
      <c r="P121" s="21" t="str">
        <f t="shared" si="19"/>
        <v/>
      </c>
    </row>
    <row r="122" spans="2:16" x14ac:dyDescent="0.2">
      <c r="B122" s="11" t="str">
        <f>IF(Produse!B122="","",Produse!B122)</f>
        <v/>
      </c>
      <c r="C122" s="10" t="str">
        <f>IF(B122="","",Produse!C122)</f>
        <v/>
      </c>
      <c r="D122" s="10" t="str">
        <f>IF(B122="","",Produse!D122)</f>
        <v/>
      </c>
      <c r="E122" s="11" t="str">
        <f>IF(B122="","",Produse!E122)</f>
        <v/>
      </c>
      <c r="F122" s="17" t="str">
        <f>IF(B122="","",SUMIFS(Mișcări!$K$5:$K$2004,Mișcări!$D$5:$D$2004,B122,Mișcări!$B$5:$B$2004,"&lt;="&amp;Azi))</f>
        <v/>
      </c>
      <c r="G122" s="18" t="str">
        <f>IF(B122="","",IFERROR(SUMIFS(Mișcări!$L$5:$L$2004,Mișcări!$D$5:$D$2004,B122)/SUMIFS(Mișcări!$F$5:$F$2004,Mișcări!$D$5:$D$2004,B122,Mișcări!$J$5:$J$2004,1,Mișcări!$G$5:$G$2004,"&gt;0"),Produse!G122))</f>
        <v/>
      </c>
      <c r="H122" s="18" t="str">
        <f t="shared" si="15"/>
        <v/>
      </c>
      <c r="I122" s="21" t="str">
        <f>IF(B122="","",Produse!I122)</f>
        <v/>
      </c>
      <c r="J122" s="21" t="str">
        <f>IF(B122="","",Produse!J122)</f>
        <v/>
      </c>
      <c r="K122" s="21" t="str">
        <f>IF(B122="","",-SUMIFS(Mișcări!$K$5:$K$2004,Mișcări!$D$5:$D$2004,B122,Mișcări!$J$5:$J$2004,-1,Mișcări!$B$5:$B$2004,"&gt;"&amp;(Azi-ZileConsum),Mișcări!$B$5:$B$2004,"&lt;="&amp;Azi))</f>
        <v/>
      </c>
      <c r="L122" s="17" t="str">
        <f t="shared" si="16"/>
        <v/>
      </c>
      <c r="M122" s="11" t="str">
        <f t="shared" si="17"/>
        <v/>
      </c>
      <c r="N122" s="22" t="str">
        <f>IF(B122="","",IFERROR(_xlfn.AGGREGATE(14,6,Mișcări!$B$5:$B$2004/(Mișcări!$D$5:$D$2004=B122),1),""))</f>
        <v/>
      </c>
      <c r="O122" s="11" t="str">
        <f t="shared" si="18"/>
        <v/>
      </c>
      <c r="P122" s="21" t="str">
        <f t="shared" si="19"/>
        <v/>
      </c>
    </row>
    <row r="123" spans="2:16" x14ac:dyDescent="0.2">
      <c r="B123" s="11" t="str">
        <f>IF(Produse!B123="","",Produse!B123)</f>
        <v/>
      </c>
      <c r="C123" s="10" t="str">
        <f>IF(B123="","",Produse!C123)</f>
        <v/>
      </c>
      <c r="D123" s="10" t="str">
        <f>IF(B123="","",Produse!D123)</f>
        <v/>
      </c>
      <c r="E123" s="11" t="str">
        <f>IF(B123="","",Produse!E123)</f>
        <v/>
      </c>
      <c r="F123" s="17" t="str">
        <f>IF(B123="","",SUMIFS(Mișcări!$K$5:$K$2004,Mișcări!$D$5:$D$2004,B123,Mișcări!$B$5:$B$2004,"&lt;="&amp;Azi))</f>
        <v/>
      </c>
      <c r="G123" s="18" t="str">
        <f>IF(B123="","",IFERROR(SUMIFS(Mișcări!$L$5:$L$2004,Mișcări!$D$5:$D$2004,B123)/SUMIFS(Mișcări!$F$5:$F$2004,Mișcări!$D$5:$D$2004,B123,Mișcări!$J$5:$J$2004,1,Mișcări!$G$5:$G$2004,"&gt;0"),Produse!G123))</f>
        <v/>
      </c>
      <c r="H123" s="18" t="str">
        <f t="shared" si="15"/>
        <v/>
      </c>
      <c r="I123" s="21" t="str">
        <f>IF(B123="","",Produse!I123)</f>
        <v/>
      </c>
      <c r="J123" s="21" t="str">
        <f>IF(B123="","",Produse!J123)</f>
        <v/>
      </c>
      <c r="K123" s="21" t="str">
        <f>IF(B123="","",-SUMIFS(Mișcări!$K$5:$K$2004,Mișcări!$D$5:$D$2004,B123,Mișcări!$J$5:$J$2004,-1,Mișcări!$B$5:$B$2004,"&gt;"&amp;(Azi-ZileConsum),Mișcări!$B$5:$B$2004,"&lt;="&amp;Azi))</f>
        <v/>
      </c>
      <c r="L123" s="17" t="str">
        <f t="shared" si="16"/>
        <v/>
      </c>
      <c r="M123" s="11" t="str">
        <f t="shared" si="17"/>
        <v/>
      </c>
      <c r="N123" s="22" t="str">
        <f>IF(B123="","",IFERROR(_xlfn.AGGREGATE(14,6,Mișcări!$B$5:$B$2004/(Mișcări!$D$5:$D$2004=B123),1),""))</f>
        <v/>
      </c>
      <c r="O123" s="11" t="str">
        <f t="shared" si="18"/>
        <v/>
      </c>
      <c r="P123" s="21" t="str">
        <f t="shared" si="19"/>
        <v/>
      </c>
    </row>
    <row r="124" spans="2:16" x14ac:dyDescent="0.2">
      <c r="B124" s="11" t="str">
        <f>IF(Produse!B124="","",Produse!B124)</f>
        <v/>
      </c>
      <c r="C124" s="10" t="str">
        <f>IF(B124="","",Produse!C124)</f>
        <v/>
      </c>
      <c r="D124" s="10" t="str">
        <f>IF(B124="","",Produse!D124)</f>
        <v/>
      </c>
      <c r="E124" s="11" t="str">
        <f>IF(B124="","",Produse!E124)</f>
        <v/>
      </c>
      <c r="F124" s="17" t="str">
        <f>IF(B124="","",SUMIFS(Mișcări!$K$5:$K$2004,Mișcări!$D$5:$D$2004,B124,Mișcări!$B$5:$B$2004,"&lt;="&amp;Azi))</f>
        <v/>
      </c>
      <c r="G124" s="18" t="str">
        <f>IF(B124="","",IFERROR(SUMIFS(Mișcări!$L$5:$L$2004,Mișcări!$D$5:$D$2004,B124)/SUMIFS(Mișcări!$F$5:$F$2004,Mișcări!$D$5:$D$2004,B124,Mișcări!$J$5:$J$2004,1,Mișcări!$G$5:$G$2004,"&gt;0"),Produse!G124))</f>
        <v/>
      </c>
      <c r="H124" s="18" t="str">
        <f t="shared" si="15"/>
        <v/>
      </c>
      <c r="I124" s="21" t="str">
        <f>IF(B124="","",Produse!I124)</f>
        <v/>
      </c>
      <c r="J124" s="21" t="str">
        <f>IF(B124="","",Produse!J124)</f>
        <v/>
      </c>
      <c r="K124" s="21" t="str">
        <f>IF(B124="","",-SUMIFS(Mișcări!$K$5:$K$2004,Mișcări!$D$5:$D$2004,B124,Mișcări!$J$5:$J$2004,-1,Mișcări!$B$5:$B$2004,"&gt;"&amp;(Azi-ZileConsum),Mișcări!$B$5:$B$2004,"&lt;="&amp;Azi))</f>
        <v/>
      </c>
      <c r="L124" s="17" t="str">
        <f t="shared" si="16"/>
        <v/>
      </c>
      <c r="M124" s="11" t="str">
        <f t="shared" si="17"/>
        <v/>
      </c>
      <c r="N124" s="22" t="str">
        <f>IF(B124="","",IFERROR(_xlfn.AGGREGATE(14,6,Mișcări!$B$5:$B$2004/(Mișcări!$D$5:$D$2004=B124),1),""))</f>
        <v/>
      </c>
      <c r="O124" s="11" t="str">
        <f t="shared" si="18"/>
        <v/>
      </c>
      <c r="P124" s="21" t="str">
        <f t="shared" si="19"/>
        <v/>
      </c>
    </row>
    <row r="125" spans="2:16" x14ac:dyDescent="0.2">
      <c r="B125" s="11" t="str">
        <f>IF(Produse!B125="","",Produse!B125)</f>
        <v/>
      </c>
      <c r="C125" s="10" t="str">
        <f>IF(B125="","",Produse!C125)</f>
        <v/>
      </c>
      <c r="D125" s="10" t="str">
        <f>IF(B125="","",Produse!D125)</f>
        <v/>
      </c>
      <c r="E125" s="11" t="str">
        <f>IF(B125="","",Produse!E125)</f>
        <v/>
      </c>
      <c r="F125" s="17" t="str">
        <f>IF(B125="","",SUMIFS(Mișcări!$K$5:$K$2004,Mișcări!$D$5:$D$2004,B125,Mișcări!$B$5:$B$2004,"&lt;="&amp;Azi))</f>
        <v/>
      </c>
      <c r="G125" s="18" t="str">
        <f>IF(B125="","",IFERROR(SUMIFS(Mișcări!$L$5:$L$2004,Mișcări!$D$5:$D$2004,B125)/SUMIFS(Mișcări!$F$5:$F$2004,Mișcări!$D$5:$D$2004,B125,Mișcări!$J$5:$J$2004,1,Mișcări!$G$5:$G$2004,"&gt;0"),Produse!G125))</f>
        <v/>
      </c>
      <c r="H125" s="18" t="str">
        <f t="shared" si="15"/>
        <v/>
      </c>
      <c r="I125" s="21" t="str">
        <f>IF(B125="","",Produse!I125)</f>
        <v/>
      </c>
      <c r="J125" s="21" t="str">
        <f>IF(B125="","",Produse!J125)</f>
        <v/>
      </c>
      <c r="K125" s="21" t="str">
        <f>IF(B125="","",-SUMIFS(Mișcări!$K$5:$K$2004,Mișcări!$D$5:$D$2004,B125,Mișcări!$J$5:$J$2004,-1,Mișcări!$B$5:$B$2004,"&gt;"&amp;(Azi-ZileConsum),Mișcări!$B$5:$B$2004,"&lt;="&amp;Azi))</f>
        <v/>
      </c>
      <c r="L125" s="17" t="str">
        <f t="shared" si="16"/>
        <v/>
      </c>
      <c r="M125" s="11" t="str">
        <f t="shared" si="17"/>
        <v/>
      </c>
      <c r="N125" s="22" t="str">
        <f>IF(B125="","",IFERROR(_xlfn.AGGREGATE(14,6,Mișcări!$B$5:$B$2004/(Mișcări!$D$5:$D$2004=B125),1),""))</f>
        <v/>
      </c>
      <c r="O125" s="11" t="str">
        <f t="shared" si="18"/>
        <v/>
      </c>
      <c r="P125" s="21" t="str">
        <f t="shared" si="19"/>
        <v/>
      </c>
    </row>
    <row r="126" spans="2:16" x14ac:dyDescent="0.2">
      <c r="B126" s="11" t="str">
        <f>IF(Produse!B126="","",Produse!B126)</f>
        <v/>
      </c>
      <c r="C126" s="10" t="str">
        <f>IF(B126="","",Produse!C126)</f>
        <v/>
      </c>
      <c r="D126" s="10" t="str">
        <f>IF(B126="","",Produse!D126)</f>
        <v/>
      </c>
      <c r="E126" s="11" t="str">
        <f>IF(B126="","",Produse!E126)</f>
        <v/>
      </c>
      <c r="F126" s="17" t="str">
        <f>IF(B126="","",SUMIFS(Mișcări!$K$5:$K$2004,Mișcări!$D$5:$D$2004,B126,Mișcări!$B$5:$B$2004,"&lt;="&amp;Azi))</f>
        <v/>
      </c>
      <c r="G126" s="18" t="str">
        <f>IF(B126="","",IFERROR(SUMIFS(Mișcări!$L$5:$L$2004,Mișcări!$D$5:$D$2004,B126)/SUMIFS(Mișcări!$F$5:$F$2004,Mișcări!$D$5:$D$2004,B126,Mișcări!$J$5:$J$2004,1,Mișcări!$G$5:$G$2004,"&gt;0"),Produse!G126))</f>
        <v/>
      </c>
      <c r="H126" s="18" t="str">
        <f t="shared" si="15"/>
        <v/>
      </c>
      <c r="I126" s="21" t="str">
        <f>IF(B126="","",Produse!I126)</f>
        <v/>
      </c>
      <c r="J126" s="21" t="str">
        <f>IF(B126="","",Produse!J126)</f>
        <v/>
      </c>
      <c r="K126" s="21" t="str">
        <f>IF(B126="","",-SUMIFS(Mișcări!$K$5:$K$2004,Mișcări!$D$5:$D$2004,B126,Mișcări!$J$5:$J$2004,-1,Mișcări!$B$5:$B$2004,"&gt;"&amp;(Azi-ZileConsum),Mișcări!$B$5:$B$2004,"&lt;="&amp;Azi))</f>
        <v/>
      </c>
      <c r="L126" s="17" t="str">
        <f t="shared" si="16"/>
        <v/>
      </c>
      <c r="M126" s="11" t="str">
        <f t="shared" si="17"/>
        <v/>
      </c>
      <c r="N126" s="22" t="str">
        <f>IF(B126="","",IFERROR(_xlfn.AGGREGATE(14,6,Mișcări!$B$5:$B$2004/(Mișcări!$D$5:$D$2004=B126),1),""))</f>
        <v/>
      </c>
      <c r="O126" s="11" t="str">
        <f t="shared" si="18"/>
        <v/>
      </c>
      <c r="P126" s="21" t="str">
        <f t="shared" si="19"/>
        <v/>
      </c>
    </row>
    <row r="127" spans="2:16" x14ac:dyDescent="0.2">
      <c r="B127" s="11" t="str">
        <f>IF(Produse!B127="","",Produse!B127)</f>
        <v/>
      </c>
      <c r="C127" s="10" t="str">
        <f>IF(B127="","",Produse!C127)</f>
        <v/>
      </c>
      <c r="D127" s="10" t="str">
        <f>IF(B127="","",Produse!D127)</f>
        <v/>
      </c>
      <c r="E127" s="11" t="str">
        <f>IF(B127="","",Produse!E127)</f>
        <v/>
      </c>
      <c r="F127" s="17" t="str">
        <f>IF(B127="","",SUMIFS(Mișcări!$K$5:$K$2004,Mișcări!$D$5:$D$2004,B127,Mișcări!$B$5:$B$2004,"&lt;="&amp;Azi))</f>
        <v/>
      </c>
      <c r="G127" s="18" t="str">
        <f>IF(B127="","",IFERROR(SUMIFS(Mișcări!$L$5:$L$2004,Mișcări!$D$5:$D$2004,B127)/SUMIFS(Mișcări!$F$5:$F$2004,Mișcări!$D$5:$D$2004,B127,Mișcări!$J$5:$J$2004,1,Mișcări!$G$5:$G$2004,"&gt;0"),Produse!G127))</f>
        <v/>
      </c>
      <c r="H127" s="18" t="str">
        <f t="shared" si="15"/>
        <v/>
      </c>
      <c r="I127" s="21" t="str">
        <f>IF(B127="","",Produse!I127)</f>
        <v/>
      </c>
      <c r="J127" s="21" t="str">
        <f>IF(B127="","",Produse!J127)</f>
        <v/>
      </c>
      <c r="K127" s="21" t="str">
        <f>IF(B127="","",-SUMIFS(Mișcări!$K$5:$K$2004,Mișcări!$D$5:$D$2004,B127,Mișcări!$J$5:$J$2004,-1,Mișcări!$B$5:$B$2004,"&gt;"&amp;(Azi-ZileConsum),Mișcări!$B$5:$B$2004,"&lt;="&amp;Azi))</f>
        <v/>
      </c>
      <c r="L127" s="17" t="str">
        <f t="shared" si="16"/>
        <v/>
      </c>
      <c r="M127" s="11" t="str">
        <f t="shared" si="17"/>
        <v/>
      </c>
      <c r="N127" s="22" t="str">
        <f>IF(B127="","",IFERROR(_xlfn.AGGREGATE(14,6,Mișcări!$B$5:$B$2004/(Mișcări!$D$5:$D$2004=B127),1),""))</f>
        <v/>
      </c>
      <c r="O127" s="11" t="str">
        <f t="shared" si="18"/>
        <v/>
      </c>
      <c r="P127" s="21" t="str">
        <f t="shared" si="19"/>
        <v/>
      </c>
    </row>
    <row r="128" spans="2:16" x14ac:dyDescent="0.2">
      <c r="B128" s="11" t="str">
        <f>IF(Produse!B128="","",Produse!B128)</f>
        <v/>
      </c>
      <c r="C128" s="10" t="str">
        <f>IF(B128="","",Produse!C128)</f>
        <v/>
      </c>
      <c r="D128" s="10" t="str">
        <f>IF(B128="","",Produse!D128)</f>
        <v/>
      </c>
      <c r="E128" s="11" t="str">
        <f>IF(B128="","",Produse!E128)</f>
        <v/>
      </c>
      <c r="F128" s="17" t="str">
        <f>IF(B128="","",SUMIFS(Mișcări!$K$5:$K$2004,Mișcări!$D$5:$D$2004,B128,Mișcări!$B$5:$B$2004,"&lt;="&amp;Azi))</f>
        <v/>
      </c>
      <c r="G128" s="18" t="str">
        <f>IF(B128="","",IFERROR(SUMIFS(Mișcări!$L$5:$L$2004,Mișcări!$D$5:$D$2004,B128)/SUMIFS(Mișcări!$F$5:$F$2004,Mișcări!$D$5:$D$2004,B128,Mișcări!$J$5:$J$2004,1,Mișcări!$G$5:$G$2004,"&gt;0"),Produse!G128))</f>
        <v/>
      </c>
      <c r="H128" s="18" t="str">
        <f t="shared" si="15"/>
        <v/>
      </c>
      <c r="I128" s="21" t="str">
        <f>IF(B128="","",Produse!I128)</f>
        <v/>
      </c>
      <c r="J128" s="21" t="str">
        <f>IF(B128="","",Produse!J128)</f>
        <v/>
      </c>
      <c r="K128" s="21" t="str">
        <f>IF(B128="","",-SUMIFS(Mișcări!$K$5:$K$2004,Mișcări!$D$5:$D$2004,B128,Mișcări!$J$5:$J$2004,-1,Mișcări!$B$5:$B$2004,"&gt;"&amp;(Azi-ZileConsum),Mișcări!$B$5:$B$2004,"&lt;="&amp;Azi))</f>
        <v/>
      </c>
      <c r="L128" s="17" t="str">
        <f t="shared" si="16"/>
        <v/>
      </c>
      <c r="M128" s="11" t="str">
        <f t="shared" si="17"/>
        <v/>
      </c>
      <c r="N128" s="22" t="str">
        <f>IF(B128="","",IFERROR(_xlfn.AGGREGATE(14,6,Mișcări!$B$5:$B$2004/(Mișcări!$D$5:$D$2004=B128),1),""))</f>
        <v/>
      </c>
      <c r="O128" s="11" t="str">
        <f t="shared" si="18"/>
        <v/>
      </c>
      <c r="P128" s="21" t="str">
        <f t="shared" si="19"/>
        <v/>
      </c>
    </row>
    <row r="129" spans="2:16" x14ac:dyDescent="0.2">
      <c r="B129" s="11" t="str">
        <f>IF(Produse!B129="","",Produse!B129)</f>
        <v/>
      </c>
      <c r="C129" s="10" t="str">
        <f>IF(B129="","",Produse!C129)</f>
        <v/>
      </c>
      <c r="D129" s="10" t="str">
        <f>IF(B129="","",Produse!D129)</f>
        <v/>
      </c>
      <c r="E129" s="11" t="str">
        <f>IF(B129="","",Produse!E129)</f>
        <v/>
      </c>
      <c r="F129" s="17" t="str">
        <f>IF(B129="","",SUMIFS(Mișcări!$K$5:$K$2004,Mișcări!$D$5:$D$2004,B129,Mișcări!$B$5:$B$2004,"&lt;="&amp;Azi))</f>
        <v/>
      </c>
      <c r="G129" s="18" t="str">
        <f>IF(B129="","",IFERROR(SUMIFS(Mișcări!$L$5:$L$2004,Mișcări!$D$5:$D$2004,B129)/SUMIFS(Mișcări!$F$5:$F$2004,Mișcări!$D$5:$D$2004,B129,Mișcări!$J$5:$J$2004,1,Mișcări!$G$5:$G$2004,"&gt;0"),Produse!G129))</f>
        <v/>
      </c>
      <c r="H129" s="18" t="str">
        <f t="shared" si="15"/>
        <v/>
      </c>
      <c r="I129" s="21" t="str">
        <f>IF(B129="","",Produse!I129)</f>
        <v/>
      </c>
      <c r="J129" s="21" t="str">
        <f>IF(B129="","",Produse!J129)</f>
        <v/>
      </c>
      <c r="K129" s="21" t="str">
        <f>IF(B129="","",-SUMIFS(Mișcări!$K$5:$K$2004,Mișcări!$D$5:$D$2004,B129,Mișcări!$J$5:$J$2004,-1,Mișcări!$B$5:$B$2004,"&gt;"&amp;(Azi-ZileConsum),Mișcări!$B$5:$B$2004,"&lt;="&amp;Azi))</f>
        <v/>
      </c>
      <c r="L129" s="17" t="str">
        <f t="shared" si="16"/>
        <v/>
      </c>
      <c r="M129" s="11" t="str">
        <f t="shared" si="17"/>
        <v/>
      </c>
      <c r="N129" s="22" t="str">
        <f>IF(B129="","",IFERROR(_xlfn.AGGREGATE(14,6,Mișcări!$B$5:$B$2004/(Mișcări!$D$5:$D$2004=B129),1),""))</f>
        <v/>
      </c>
      <c r="O129" s="11" t="str">
        <f t="shared" si="18"/>
        <v/>
      </c>
      <c r="P129" s="21" t="str">
        <f t="shared" si="19"/>
        <v/>
      </c>
    </row>
    <row r="130" spans="2:16" x14ac:dyDescent="0.2">
      <c r="B130" s="11" t="str">
        <f>IF(Produse!B130="","",Produse!B130)</f>
        <v/>
      </c>
      <c r="C130" s="10" t="str">
        <f>IF(B130="","",Produse!C130)</f>
        <v/>
      </c>
      <c r="D130" s="10" t="str">
        <f>IF(B130="","",Produse!D130)</f>
        <v/>
      </c>
      <c r="E130" s="11" t="str">
        <f>IF(B130="","",Produse!E130)</f>
        <v/>
      </c>
      <c r="F130" s="17" t="str">
        <f>IF(B130="","",SUMIFS(Mișcări!$K$5:$K$2004,Mișcări!$D$5:$D$2004,B130,Mișcări!$B$5:$B$2004,"&lt;="&amp;Azi))</f>
        <v/>
      </c>
      <c r="G130" s="18" t="str">
        <f>IF(B130="","",IFERROR(SUMIFS(Mișcări!$L$5:$L$2004,Mișcări!$D$5:$D$2004,B130)/SUMIFS(Mișcări!$F$5:$F$2004,Mișcări!$D$5:$D$2004,B130,Mișcări!$J$5:$J$2004,1,Mișcări!$G$5:$G$2004,"&gt;0"),Produse!G130))</f>
        <v/>
      </c>
      <c r="H130" s="18" t="str">
        <f t="shared" si="15"/>
        <v/>
      </c>
      <c r="I130" s="21" t="str">
        <f>IF(B130="","",Produse!I130)</f>
        <v/>
      </c>
      <c r="J130" s="21" t="str">
        <f>IF(B130="","",Produse!J130)</f>
        <v/>
      </c>
      <c r="K130" s="21" t="str">
        <f>IF(B130="","",-SUMIFS(Mișcări!$K$5:$K$2004,Mișcări!$D$5:$D$2004,B130,Mișcări!$J$5:$J$2004,-1,Mișcări!$B$5:$B$2004,"&gt;"&amp;(Azi-ZileConsum),Mișcări!$B$5:$B$2004,"&lt;="&amp;Azi))</f>
        <v/>
      </c>
      <c r="L130" s="17" t="str">
        <f t="shared" si="16"/>
        <v/>
      </c>
      <c r="M130" s="11" t="str">
        <f t="shared" si="17"/>
        <v/>
      </c>
      <c r="N130" s="22" t="str">
        <f>IF(B130="","",IFERROR(_xlfn.AGGREGATE(14,6,Mișcări!$B$5:$B$2004/(Mișcări!$D$5:$D$2004=B130),1),""))</f>
        <v/>
      </c>
      <c r="O130" s="11" t="str">
        <f t="shared" si="18"/>
        <v/>
      </c>
      <c r="P130" s="21" t="str">
        <f t="shared" si="19"/>
        <v/>
      </c>
    </row>
    <row r="131" spans="2:16" x14ac:dyDescent="0.2">
      <c r="B131" s="11" t="str">
        <f>IF(Produse!B131="","",Produse!B131)</f>
        <v/>
      </c>
      <c r="C131" s="10" t="str">
        <f>IF(B131="","",Produse!C131)</f>
        <v/>
      </c>
      <c r="D131" s="10" t="str">
        <f>IF(B131="","",Produse!D131)</f>
        <v/>
      </c>
      <c r="E131" s="11" t="str">
        <f>IF(B131="","",Produse!E131)</f>
        <v/>
      </c>
      <c r="F131" s="17" t="str">
        <f>IF(B131="","",SUMIFS(Mișcări!$K$5:$K$2004,Mișcări!$D$5:$D$2004,B131,Mișcări!$B$5:$B$2004,"&lt;="&amp;Azi))</f>
        <v/>
      </c>
      <c r="G131" s="18" t="str">
        <f>IF(B131="","",IFERROR(SUMIFS(Mișcări!$L$5:$L$2004,Mișcări!$D$5:$D$2004,B131)/SUMIFS(Mișcări!$F$5:$F$2004,Mișcări!$D$5:$D$2004,B131,Mișcări!$J$5:$J$2004,1,Mișcări!$G$5:$G$2004,"&gt;0"),Produse!G131))</f>
        <v/>
      </c>
      <c r="H131" s="18" t="str">
        <f t="shared" si="15"/>
        <v/>
      </c>
      <c r="I131" s="21" t="str">
        <f>IF(B131="","",Produse!I131)</f>
        <v/>
      </c>
      <c r="J131" s="21" t="str">
        <f>IF(B131="","",Produse!J131)</f>
        <v/>
      </c>
      <c r="K131" s="21" t="str">
        <f>IF(B131="","",-SUMIFS(Mișcări!$K$5:$K$2004,Mișcări!$D$5:$D$2004,B131,Mișcări!$J$5:$J$2004,-1,Mișcări!$B$5:$B$2004,"&gt;"&amp;(Azi-ZileConsum),Mișcări!$B$5:$B$2004,"&lt;="&amp;Azi))</f>
        <v/>
      </c>
      <c r="L131" s="17" t="str">
        <f t="shared" si="16"/>
        <v/>
      </c>
      <c r="M131" s="11" t="str">
        <f t="shared" si="17"/>
        <v/>
      </c>
      <c r="N131" s="22" t="str">
        <f>IF(B131="","",IFERROR(_xlfn.AGGREGATE(14,6,Mișcări!$B$5:$B$2004/(Mișcări!$D$5:$D$2004=B131),1),""))</f>
        <v/>
      </c>
      <c r="O131" s="11" t="str">
        <f t="shared" si="18"/>
        <v/>
      </c>
      <c r="P131" s="21" t="str">
        <f t="shared" si="19"/>
        <v/>
      </c>
    </row>
    <row r="132" spans="2:16" x14ac:dyDescent="0.2">
      <c r="B132" s="11" t="str">
        <f>IF(Produse!B132="","",Produse!B132)</f>
        <v/>
      </c>
      <c r="C132" s="10" t="str">
        <f>IF(B132="","",Produse!C132)</f>
        <v/>
      </c>
      <c r="D132" s="10" t="str">
        <f>IF(B132="","",Produse!D132)</f>
        <v/>
      </c>
      <c r="E132" s="11" t="str">
        <f>IF(B132="","",Produse!E132)</f>
        <v/>
      </c>
      <c r="F132" s="17" t="str">
        <f>IF(B132="","",SUMIFS(Mișcări!$K$5:$K$2004,Mișcări!$D$5:$D$2004,B132,Mișcări!$B$5:$B$2004,"&lt;="&amp;Azi))</f>
        <v/>
      </c>
      <c r="G132" s="18" t="str">
        <f>IF(B132="","",IFERROR(SUMIFS(Mișcări!$L$5:$L$2004,Mișcări!$D$5:$D$2004,B132)/SUMIFS(Mișcări!$F$5:$F$2004,Mișcări!$D$5:$D$2004,B132,Mișcări!$J$5:$J$2004,1,Mișcări!$G$5:$G$2004,"&gt;0"),Produse!G132))</f>
        <v/>
      </c>
      <c r="H132" s="18" t="str">
        <f t="shared" si="15"/>
        <v/>
      </c>
      <c r="I132" s="21" t="str">
        <f>IF(B132="","",Produse!I132)</f>
        <v/>
      </c>
      <c r="J132" s="21" t="str">
        <f>IF(B132="","",Produse!J132)</f>
        <v/>
      </c>
      <c r="K132" s="21" t="str">
        <f>IF(B132="","",-SUMIFS(Mișcări!$K$5:$K$2004,Mișcări!$D$5:$D$2004,B132,Mișcări!$J$5:$J$2004,-1,Mișcări!$B$5:$B$2004,"&gt;"&amp;(Azi-ZileConsum),Mișcări!$B$5:$B$2004,"&lt;="&amp;Azi))</f>
        <v/>
      </c>
      <c r="L132" s="17" t="str">
        <f t="shared" si="16"/>
        <v/>
      </c>
      <c r="M132" s="11" t="str">
        <f t="shared" si="17"/>
        <v/>
      </c>
      <c r="N132" s="22" t="str">
        <f>IF(B132="","",IFERROR(_xlfn.AGGREGATE(14,6,Mișcări!$B$5:$B$2004/(Mișcări!$D$5:$D$2004=B132),1),""))</f>
        <v/>
      </c>
      <c r="O132" s="11" t="str">
        <f t="shared" si="18"/>
        <v/>
      </c>
      <c r="P132" s="21" t="str">
        <f t="shared" si="19"/>
        <v/>
      </c>
    </row>
    <row r="133" spans="2:16" x14ac:dyDescent="0.2">
      <c r="B133" s="11" t="str">
        <f>IF(Produse!B133="","",Produse!B133)</f>
        <v/>
      </c>
      <c r="C133" s="10" t="str">
        <f>IF(B133="","",Produse!C133)</f>
        <v/>
      </c>
      <c r="D133" s="10" t="str">
        <f>IF(B133="","",Produse!D133)</f>
        <v/>
      </c>
      <c r="E133" s="11" t="str">
        <f>IF(B133="","",Produse!E133)</f>
        <v/>
      </c>
      <c r="F133" s="17" t="str">
        <f>IF(B133="","",SUMIFS(Mișcări!$K$5:$K$2004,Mișcări!$D$5:$D$2004,B133,Mișcări!$B$5:$B$2004,"&lt;="&amp;Azi))</f>
        <v/>
      </c>
      <c r="G133" s="18" t="str">
        <f>IF(B133="","",IFERROR(SUMIFS(Mișcări!$L$5:$L$2004,Mișcări!$D$5:$D$2004,B133)/SUMIFS(Mișcări!$F$5:$F$2004,Mișcări!$D$5:$D$2004,B133,Mișcări!$J$5:$J$2004,1,Mișcări!$G$5:$G$2004,"&gt;0"),Produse!G133))</f>
        <v/>
      </c>
      <c r="H133" s="18" t="str">
        <f t="shared" ref="H133:H164" si="20">IF(B133="","",ROUND(MAX(0,F133)*G133,2))</f>
        <v/>
      </c>
      <c r="I133" s="21" t="str">
        <f>IF(B133="","",Produse!I133)</f>
        <v/>
      </c>
      <c r="J133" s="21" t="str">
        <f>IF(B133="","",Produse!J133)</f>
        <v/>
      </c>
      <c r="K133" s="21" t="str">
        <f>IF(B133="","",-SUMIFS(Mișcări!$K$5:$K$2004,Mișcări!$D$5:$D$2004,B133,Mișcări!$J$5:$J$2004,-1,Mișcări!$B$5:$B$2004,"&gt;"&amp;(Azi-ZileConsum),Mișcări!$B$5:$B$2004,"&lt;="&amp;Azi))</f>
        <v/>
      </c>
      <c r="L133" s="17" t="str">
        <f t="shared" ref="L133:L164" si="21">IF(B133="","",K133/ZileConsum)</f>
        <v/>
      </c>
      <c r="M133" s="11" t="str">
        <f t="shared" ref="M133:M164" si="22">IF(B133="","",IF(N(L133)=0,"–",ROUND(MAX(0,F133)/L133,0)))</f>
        <v/>
      </c>
      <c r="N133" s="22" t="str">
        <f>IF(B133="","",IFERROR(_xlfn.AGGREGATE(14,6,Mișcări!$B$5:$B$2004/(Mișcări!$D$5:$D$2004=B133),1),""))</f>
        <v/>
      </c>
      <c r="O133" s="11" t="str">
        <f t="shared" ref="O133:O164" si="23">IF(B133="","",IF(F133&lt;=0,"Ruptură de stoc",IF(F133&lt;I133,"Sub stoc minim",IF(AND(N(J133)&gt;0,F133&gt;J133),"Exces de stoc",IF(AND(N133&lt;&gt;"",Azi-N133&gt;ZileMort),"Fără mișcare","OK")))))</f>
        <v/>
      </c>
      <c r="P133" s="21" t="str">
        <f t="shared" ref="P133:P164" si="24">IF(B133="","",IF(F133&lt;I133,MAX(0,J133-MAX(0,F133)),0))</f>
        <v/>
      </c>
    </row>
    <row r="134" spans="2:16" x14ac:dyDescent="0.2">
      <c r="B134" s="11" t="str">
        <f>IF(Produse!B134="","",Produse!B134)</f>
        <v/>
      </c>
      <c r="C134" s="10" t="str">
        <f>IF(B134="","",Produse!C134)</f>
        <v/>
      </c>
      <c r="D134" s="10" t="str">
        <f>IF(B134="","",Produse!D134)</f>
        <v/>
      </c>
      <c r="E134" s="11" t="str">
        <f>IF(B134="","",Produse!E134)</f>
        <v/>
      </c>
      <c r="F134" s="17" t="str">
        <f>IF(B134="","",SUMIFS(Mișcări!$K$5:$K$2004,Mișcări!$D$5:$D$2004,B134,Mișcări!$B$5:$B$2004,"&lt;="&amp;Azi))</f>
        <v/>
      </c>
      <c r="G134" s="18" t="str">
        <f>IF(B134="","",IFERROR(SUMIFS(Mișcări!$L$5:$L$2004,Mișcări!$D$5:$D$2004,B134)/SUMIFS(Mișcări!$F$5:$F$2004,Mișcări!$D$5:$D$2004,B134,Mișcări!$J$5:$J$2004,1,Mișcări!$G$5:$G$2004,"&gt;0"),Produse!G134))</f>
        <v/>
      </c>
      <c r="H134" s="18" t="str">
        <f t="shared" si="20"/>
        <v/>
      </c>
      <c r="I134" s="21" t="str">
        <f>IF(B134="","",Produse!I134)</f>
        <v/>
      </c>
      <c r="J134" s="21" t="str">
        <f>IF(B134="","",Produse!J134)</f>
        <v/>
      </c>
      <c r="K134" s="21" t="str">
        <f>IF(B134="","",-SUMIFS(Mișcări!$K$5:$K$2004,Mișcări!$D$5:$D$2004,B134,Mișcări!$J$5:$J$2004,-1,Mișcări!$B$5:$B$2004,"&gt;"&amp;(Azi-ZileConsum),Mișcări!$B$5:$B$2004,"&lt;="&amp;Azi))</f>
        <v/>
      </c>
      <c r="L134" s="17" t="str">
        <f t="shared" si="21"/>
        <v/>
      </c>
      <c r="M134" s="11" t="str">
        <f t="shared" si="22"/>
        <v/>
      </c>
      <c r="N134" s="22" t="str">
        <f>IF(B134="","",IFERROR(_xlfn.AGGREGATE(14,6,Mișcări!$B$5:$B$2004/(Mișcări!$D$5:$D$2004=B134),1),""))</f>
        <v/>
      </c>
      <c r="O134" s="11" t="str">
        <f t="shared" si="23"/>
        <v/>
      </c>
      <c r="P134" s="21" t="str">
        <f t="shared" si="24"/>
        <v/>
      </c>
    </row>
    <row r="135" spans="2:16" x14ac:dyDescent="0.2">
      <c r="B135" s="11" t="str">
        <f>IF(Produse!B135="","",Produse!B135)</f>
        <v/>
      </c>
      <c r="C135" s="10" t="str">
        <f>IF(B135="","",Produse!C135)</f>
        <v/>
      </c>
      <c r="D135" s="10" t="str">
        <f>IF(B135="","",Produse!D135)</f>
        <v/>
      </c>
      <c r="E135" s="11" t="str">
        <f>IF(B135="","",Produse!E135)</f>
        <v/>
      </c>
      <c r="F135" s="17" t="str">
        <f>IF(B135="","",SUMIFS(Mișcări!$K$5:$K$2004,Mișcări!$D$5:$D$2004,B135,Mișcări!$B$5:$B$2004,"&lt;="&amp;Azi))</f>
        <v/>
      </c>
      <c r="G135" s="18" t="str">
        <f>IF(B135="","",IFERROR(SUMIFS(Mișcări!$L$5:$L$2004,Mișcări!$D$5:$D$2004,B135)/SUMIFS(Mișcări!$F$5:$F$2004,Mișcări!$D$5:$D$2004,B135,Mișcări!$J$5:$J$2004,1,Mișcări!$G$5:$G$2004,"&gt;0"),Produse!G135))</f>
        <v/>
      </c>
      <c r="H135" s="18" t="str">
        <f t="shared" si="20"/>
        <v/>
      </c>
      <c r="I135" s="21" t="str">
        <f>IF(B135="","",Produse!I135)</f>
        <v/>
      </c>
      <c r="J135" s="21" t="str">
        <f>IF(B135="","",Produse!J135)</f>
        <v/>
      </c>
      <c r="K135" s="21" t="str">
        <f>IF(B135="","",-SUMIFS(Mișcări!$K$5:$K$2004,Mișcări!$D$5:$D$2004,B135,Mișcări!$J$5:$J$2004,-1,Mișcări!$B$5:$B$2004,"&gt;"&amp;(Azi-ZileConsum),Mișcări!$B$5:$B$2004,"&lt;="&amp;Azi))</f>
        <v/>
      </c>
      <c r="L135" s="17" t="str">
        <f t="shared" si="21"/>
        <v/>
      </c>
      <c r="M135" s="11" t="str">
        <f t="shared" si="22"/>
        <v/>
      </c>
      <c r="N135" s="22" t="str">
        <f>IF(B135="","",IFERROR(_xlfn.AGGREGATE(14,6,Mișcări!$B$5:$B$2004/(Mișcări!$D$5:$D$2004=B135),1),""))</f>
        <v/>
      </c>
      <c r="O135" s="11" t="str">
        <f t="shared" si="23"/>
        <v/>
      </c>
      <c r="P135" s="21" t="str">
        <f t="shared" si="24"/>
        <v/>
      </c>
    </row>
    <row r="136" spans="2:16" x14ac:dyDescent="0.2">
      <c r="B136" s="11" t="str">
        <f>IF(Produse!B136="","",Produse!B136)</f>
        <v/>
      </c>
      <c r="C136" s="10" t="str">
        <f>IF(B136="","",Produse!C136)</f>
        <v/>
      </c>
      <c r="D136" s="10" t="str">
        <f>IF(B136="","",Produse!D136)</f>
        <v/>
      </c>
      <c r="E136" s="11" t="str">
        <f>IF(B136="","",Produse!E136)</f>
        <v/>
      </c>
      <c r="F136" s="17" t="str">
        <f>IF(B136="","",SUMIFS(Mișcări!$K$5:$K$2004,Mișcări!$D$5:$D$2004,B136,Mișcări!$B$5:$B$2004,"&lt;="&amp;Azi))</f>
        <v/>
      </c>
      <c r="G136" s="18" t="str">
        <f>IF(B136="","",IFERROR(SUMIFS(Mișcări!$L$5:$L$2004,Mișcări!$D$5:$D$2004,B136)/SUMIFS(Mișcări!$F$5:$F$2004,Mișcări!$D$5:$D$2004,B136,Mișcări!$J$5:$J$2004,1,Mișcări!$G$5:$G$2004,"&gt;0"),Produse!G136))</f>
        <v/>
      </c>
      <c r="H136" s="18" t="str">
        <f t="shared" si="20"/>
        <v/>
      </c>
      <c r="I136" s="21" t="str">
        <f>IF(B136="","",Produse!I136)</f>
        <v/>
      </c>
      <c r="J136" s="21" t="str">
        <f>IF(B136="","",Produse!J136)</f>
        <v/>
      </c>
      <c r="K136" s="21" t="str">
        <f>IF(B136="","",-SUMIFS(Mișcări!$K$5:$K$2004,Mișcări!$D$5:$D$2004,B136,Mișcări!$J$5:$J$2004,-1,Mișcări!$B$5:$B$2004,"&gt;"&amp;(Azi-ZileConsum),Mișcări!$B$5:$B$2004,"&lt;="&amp;Azi))</f>
        <v/>
      </c>
      <c r="L136" s="17" t="str">
        <f t="shared" si="21"/>
        <v/>
      </c>
      <c r="M136" s="11" t="str">
        <f t="shared" si="22"/>
        <v/>
      </c>
      <c r="N136" s="22" t="str">
        <f>IF(B136="","",IFERROR(_xlfn.AGGREGATE(14,6,Mișcări!$B$5:$B$2004/(Mișcări!$D$5:$D$2004=B136),1),""))</f>
        <v/>
      </c>
      <c r="O136" s="11" t="str">
        <f t="shared" si="23"/>
        <v/>
      </c>
      <c r="P136" s="21" t="str">
        <f t="shared" si="24"/>
        <v/>
      </c>
    </row>
    <row r="137" spans="2:16" x14ac:dyDescent="0.2">
      <c r="B137" s="11" t="str">
        <f>IF(Produse!B137="","",Produse!B137)</f>
        <v/>
      </c>
      <c r="C137" s="10" t="str">
        <f>IF(B137="","",Produse!C137)</f>
        <v/>
      </c>
      <c r="D137" s="10" t="str">
        <f>IF(B137="","",Produse!D137)</f>
        <v/>
      </c>
      <c r="E137" s="11" t="str">
        <f>IF(B137="","",Produse!E137)</f>
        <v/>
      </c>
      <c r="F137" s="17" t="str">
        <f>IF(B137="","",SUMIFS(Mișcări!$K$5:$K$2004,Mișcări!$D$5:$D$2004,B137,Mișcări!$B$5:$B$2004,"&lt;="&amp;Azi))</f>
        <v/>
      </c>
      <c r="G137" s="18" t="str">
        <f>IF(B137="","",IFERROR(SUMIFS(Mișcări!$L$5:$L$2004,Mișcări!$D$5:$D$2004,B137)/SUMIFS(Mișcări!$F$5:$F$2004,Mișcări!$D$5:$D$2004,B137,Mișcări!$J$5:$J$2004,1,Mișcări!$G$5:$G$2004,"&gt;0"),Produse!G137))</f>
        <v/>
      </c>
      <c r="H137" s="18" t="str">
        <f t="shared" si="20"/>
        <v/>
      </c>
      <c r="I137" s="21" t="str">
        <f>IF(B137="","",Produse!I137)</f>
        <v/>
      </c>
      <c r="J137" s="21" t="str">
        <f>IF(B137="","",Produse!J137)</f>
        <v/>
      </c>
      <c r="K137" s="21" t="str">
        <f>IF(B137="","",-SUMIFS(Mișcări!$K$5:$K$2004,Mișcări!$D$5:$D$2004,B137,Mișcări!$J$5:$J$2004,-1,Mișcări!$B$5:$B$2004,"&gt;"&amp;(Azi-ZileConsum),Mișcări!$B$5:$B$2004,"&lt;="&amp;Azi))</f>
        <v/>
      </c>
      <c r="L137" s="17" t="str">
        <f t="shared" si="21"/>
        <v/>
      </c>
      <c r="M137" s="11" t="str">
        <f t="shared" si="22"/>
        <v/>
      </c>
      <c r="N137" s="22" t="str">
        <f>IF(B137="","",IFERROR(_xlfn.AGGREGATE(14,6,Mișcări!$B$5:$B$2004/(Mișcări!$D$5:$D$2004=B137),1),""))</f>
        <v/>
      </c>
      <c r="O137" s="11" t="str">
        <f t="shared" si="23"/>
        <v/>
      </c>
      <c r="P137" s="21" t="str">
        <f t="shared" si="24"/>
        <v/>
      </c>
    </row>
    <row r="138" spans="2:16" x14ac:dyDescent="0.2">
      <c r="B138" s="11" t="str">
        <f>IF(Produse!B138="","",Produse!B138)</f>
        <v/>
      </c>
      <c r="C138" s="10" t="str">
        <f>IF(B138="","",Produse!C138)</f>
        <v/>
      </c>
      <c r="D138" s="10" t="str">
        <f>IF(B138="","",Produse!D138)</f>
        <v/>
      </c>
      <c r="E138" s="11" t="str">
        <f>IF(B138="","",Produse!E138)</f>
        <v/>
      </c>
      <c r="F138" s="17" t="str">
        <f>IF(B138="","",SUMIFS(Mișcări!$K$5:$K$2004,Mișcări!$D$5:$D$2004,B138,Mișcări!$B$5:$B$2004,"&lt;="&amp;Azi))</f>
        <v/>
      </c>
      <c r="G138" s="18" t="str">
        <f>IF(B138="","",IFERROR(SUMIFS(Mișcări!$L$5:$L$2004,Mișcări!$D$5:$D$2004,B138)/SUMIFS(Mișcări!$F$5:$F$2004,Mișcări!$D$5:$D$2004,B138,Mișcări!$J$5:$J$2004,1,Mișcări!$G$5:$G$2004,"&gt;0"),Produse!G138))</f>
        <v/>
      </c>
      <c r="H138" s="18" t="str">
        <f t="shared" si="20"/>
        <v/>
      </c>
      <c r="I138" s="21" t="str">
        <f>IF(B138="","",Produse!I138)</f>
        <v/>
      </c>
      <c r="J138" s="21" t="str">
        <f>IF(B138="","",Produse!J138)</f>
        <v/>
      </c>
      <c r="K138" s="21" t="str">
        <f>IF(B138="","",-SUMIFS(Mișcări!$K$5:$K$2004,Mișcări!$D$5:$D$2004,B138,Mișcări!$J$5:$J$2004,-1,Mișcări!$B$5:$B$2004,"&gt;"&amp;(Azi-ZileConsum),Mișcări!$B$5:$B$2004,"&lt;="&amp;Azi))</f>
        <v/>
      </c>
      <c r="L138" s="17" t="str">
        <f t="shared" si="21"/>
        <v/>
      </c>
      <c r="M138" s="11" t="str">
        <f t="shared" si="22"/>
        <v/>
      </c>
      <c r="N138" s="22" t="str">
        <f>IF(B138="","",IFERROR(_xlfn.AGGREGATE(14,6,Mișcări!$B$5:$B$2004/(Mișcări!$D$5:$D$2004=B138),1),""))</f>
        <v/>
      </c>
      <c r="O138" s="11" t="str">
        <f t="shared" si="23"/>
        <v/>
      </c>
      <c r="P138" s="21" t="str">
        <f t="shared" si="24"/>
        <v/>
      </c>
    </row>
    <row r="139" spans="2:16" x14ac:dyDescent="0.2">
      <c r="B139" s="11" t="str">
        <f>IF(Produse!B139="","",Produse!B139)</f>
        <v/>
      </c>
      <c r="C139" s="10" t="str">
        <f>IF(B139="","",Produse!C139)</f>
        <v/>
      </c>
      <c r="D139" s="10" t="str">
        <f>IF(B139="","",Produse!D139)</f>
        <v/>
      </c>
      <c r="E139" s="11" t="str">
        <f>IF(B139="","",Produse!E139)</f>
        <v/>
      </c>
      <c r="F139" s="17" t="str">
        <f>IF(B139="","",SUMIFS(Mișcări!$K$5:$K$2004,Mișcări!$D$5:$D$2004,B139,Mișcări!$B$5:$B$2004,"&lt;="&amp;Azi))</f>
        <v/>
      </c>
      <c r="G139" s="18" t="str">
        <f>IF(B139="","",IFERROR(SUMIFS(Mișcări!$L$5:$L$2004,Mișcări!$D$5:$D$2004,B139)/SUMIFS(Mișcări!$F$5:$F$2004,Mișcări!$D$5:$D$2004,B139,Mișcări!$J$5:$J$2004,1,Mișcări!$G$5:$G$2004,"&gt;0"),Produse!G139))</f>
        <v/>
      </c>
      <c r="H139" s="18" t="str">
        <f t="shared" si="20"/>
        <v/>
      </c>
      <c r="I139" s="21" t="str">
        <f>IF(B139="","",Produse!I139)</f>
        <v/>
      </c>
      <c r="J139" s="21" t="str">
        <f>IF(B139="","",Produse!J139)</f>
        <v/>
      </c>
      <c r="K139" s="21" t="str">
        <f>IF(B139="","",-SUMIFS(Mișcări!$K$5:$K$2004,Mișcări!$D$5:$D$2004,B139,Mișcări!$J$5:$J$2004,-1,Mișcări!$B$5:$B$2004,"&gt;"&amp;(Azi-ZileConsum),Mișcări!$B$5:$B$2004,"&lt;="&amp;Azi))</f>
        <v/>
      </c>
      <c r="L139" s="17" t="str">
        <f t="shared" si="21"/>
        <v/>
      </c>
      <c r="M139" s="11" t="str">
        <f t="shared" si="22"/>
        <v/>
      </c>
      <c r="N139" s="22" t="str">
        <f>IF(B139="","",IFERROR(_xlfn.AGGREGATE(14,6,Mișcări!$B$5:$B$2004/(Mișcări!$D$5:$D$2004=B139),1),""))</f>
        <v/>
      </c>
      <c r="O139" s="11" t="str">
        <f t="shared" si="23"/>
        <v/>
      </c>
      <c r="P139" s="21" t="str">
        <f t="shared" si="24"/>
        <v/>
      </c>
    </row>
    <row r="140" spans="2:16" x14ac:dyDescent="0.2">
      <c r="B140" s="11" t="str">
        <f>IF(Produse!B140="","",Produse!B140)</f>
        <v/>
      </c>
      <c r="C140" s="10" t="str">
        <f>IF(B140="","",Produse!C140)</f>
        <v/>
      </c>
      <c r="D140" s="10" t="str">
        <f>IF(B140="","",Produse!D140)</f>
        <v/>
      </c>
      <c r="E140" s="11" t="str">
        <f>IF(B140="","",Produse!E140)</f>
        <v/>
      </c>
      <c r="F140" s="17" t="str">
        <f>IF(B140="","",SUMIFS(Mișcări!$K$5:$K$2004,Mișcări!$D$5:$D$2004,B140,Mișcări!$B$5:$B$2004,"&lt;="&amp;Azi))</f>
        <v/>
      </c>
      <c r="G140" s="18" t="str">
        <f>IF(B140="","",IFERROR(SUMIFS(Mișcări!$L$5:$L$2004,Mișcări!$D$5:$D$2004,B140)/SUMIFS(Mișcări!$F$5:$F$2004,Mișcări!$D$5:$D$2004,B140,Mișcări!$J$5:$J$2004,1,Mișcări!$G$5:$G$2004,"&gt;0"),Produse!G140))</f>
        <v/>
      </c>
      <c r="H140" s="18" t="str">
        <f t="shared" si="20"/>
        <v/>
      </c>
      <c r="I140" s="21" t="str">
        <f>IF(B140="","",Produse!I140)</f>
        <v/>
      </c>
      <c r="J140" s="21" t="str">
        <f>IF(B140="","",Produse!J140)</f>
        <v/>
      </c>
      <c r="K140" s="21" t="str">
        <f>IF(B140="","",-SUMIFS(Mișcări!$K$5:$K$2004,Mișcări!$D$5:$D$2004,B140,Mișcări!$J$5:$J$2004,-1,Mișcări!$B$5:$B$2004,"&gt;"&amp;(Azi-ZileConsum),Mișcări!$B$5:$B$2004,"&lt;="&amp;Azi))</f>
        <v/>
      </c>
      <c r="L140" s="17" t="str">
        <f t="shared" si="21"/>
        <v/>
      </c>
      <c r="M140" s="11" t="str">
        <f t="shared" si="22"/>
        <v/>
      </c>
      <c r="N140" s="22" t="str">
        <f>IF(B140="","",IFERROR(_xlfn.AGGREGATE(14,6,Mișcări!$B$5:$B$2004/(Mișcări!$D$5:$D$2004=B140),1),""))</f>
        <v/>
      </c>
      <c r="O140" s="11" t="str">
        <f t="shared" si="23"/>
        <v/>
      </c>
      <c r="P140" s="21" t="str">
        <f t="shared" si="24"/>
        <v/>
      </c>
    </row>
    <row r="141" spans="2:16" x14ac:dyDescent="0.2">
      <c r="B141" s="11" t="str">
        <f>IF(Produse!B141="","",Produse!B141)</f>
        <v/>
      </c>
      <c r="C141" s="10" t="str">
        <f>IF(B141="","",Produse!C141)</f>
        <v/>
      </c>
      <c r="D141" s="10" t="str">
        <f>IF(B141="","",Produse!D141)</f>
        <v/>
      </c>
      <c r="E141" s="11" t="str">
        <f>IF(B141="","",Produse!E141)</f>
        <v/>
      </c>
      <c r="F141" s="17" t="str">
        <f>IF(B141="","",SUMIFS(Mișcări!$K$5:$K$2004,Mișcări!$D$5:$D$2004,B141,Mișcări!$B$5:$B$2004,"&lt;="&amp;Azi))</f>
        <v/>
      </c>
      <c r="G141" s="18" t="str">
        <f>IF(B141="","",IFERROR(SUMIFS(Mișcări!$L$5:$L$2004,Mișcări!$D$5:$D$2004,B141)/SUMIFS(Mișcări!$F$5:$F$2004,Mișcări!$D$5:$D$2004,B141,Mișcări!$J$5:$J$2004,1,Mișcări!$G$5:$G$2004,"&gt;0"),Produse!G141))</f>
        <v/>
      </c>
      <c r="H141" s="18" t="str">
        <f t="shared" si="20"/>
        <v/>
      </c>
      <c r="I141" s="21" t="str">
        <f>IF(B141="","",Produse!I141)</f>
        <v/>
      </c>
      <c r="J141" s="21" t="str">
        <f>IF(B141="","",Produse!J141)</f>
        <v/>
      </c>
      <c r="K141" s="21" t="str">
        <f>IF(B141="","",-SUMIFS(Mișcări!$K$5:$K$2004,Mișcări!$D$5:$D$2004,B141,Mișcări!$J$5:$J$2004,-1,Mișcări!$B$5:$B$2004,"&gt;"&amp;(Azi-ZileConsum),Mișcări!$B$5:$B$2004,"&lt;="&amp;Azi))</f>
        <v/>
      </c>
      <c r="L141" s="17" t="str">
        <f t="shared" si="21"/>
        <v/>
      </c>
      <c r="M141" s="11" t="str">
        <f t="shared" si="22"/>
        <v/>
      </c>
      <c r="N141" s="22" t="str">
        <f>IF(B141="","",IFERROR(_xlfn.AGGREGATE(14,6,Mișcări!$B$5:$B$2004/(Mișcări!$D$5:$D$2004=B141),1),""))</f>
        <v/>
      </c>
      <c r="O141" s="11" t="str">
        <f t="shared" si="23"/>
        <v/>
      </c>
      <c r="P141" s="21" t="str">
        <f t="shared" si="24"/>
        <v/>
      </c>
    </row>
    <row r="142" spans="2:16" x14ac:dyDescent="0.2">
      <c r="B142" s="11" t="str">
        <f>IF(Produse!B142="","",Produse!B142)</f>
        <v/>
      </c>
      <c r="C142" s="10" t="str">
        <f>IF(B142="","",Produse!C142)</f>
        <v/>
      </c>
      <c r="D142" s="10" t="str">
        <f>IF(B142="","",Produse!D142)</f>
        <v/>
      </c>
      <c r="E142" s="11" t="str">
        <f>IF(B142="","",Produse!E142)</f>
        <v/>
      </c>
      <c r="F142" s="17" t="str">
        <f>IF(B142="","",SUMIFS(Mișcări!$K$5:$K$2004,Mișcări!$D$5:$D$2004,B142,Mișcări!$B$5:$B$2004,"&lt;="&amp;Azi))</f>
        <v/>
      </c>
      <c r="G142" s="18" t="str">
        <f>IF(B142="","",IFERROR(SUMIFS(Mișcări!$L$5:$L$2004,Mișcări!$D$5:$D$2004,B142)/SUMIFS(Mișcări!$F$5:$F$2004,Mișcări!$D$5:$D$2004,B142,Mișcări!$J$5:$J$2004,1,Mișcări!$G$5:$G$2004,"&gt;0"),Produse!G142))</f>
        <v/>
      </c>
      <c r="H142" s="18" t="str">
        <f t="shared" si="20"/>
        <v/>
      </c>
      <c r="I142" s="21" t="str">
        <f>IF(B142="","",Produse!I142)</f>
        <v/>
      </c>
      <c r="J142" s="21" t="str">
        <f>IF(B142="","",Produse!J142)</f>
        <v/>
      </c>
      <c r="K142" s="21" t="str">
        <f>IF(B142="","",-SUMIFS(Mișcări!$K$5:$K$2004,Mișcări!$D$5:$D$2004,B142,Mișcări!$J$5:$J$2004,-1,Mișcări!$B$5:$B$2004,"&gt;"&amp;(Azi-ZileConsum),Mișcări!$B$5:$B$2004,"&lt;="&amp;Azi))</f>
        <v/>
      </c>
      <c r="L142" s="17" t="str">
        <f t="shared" si="21"/>
        <v/>
      </c>
      <c r="M142" s="11" t="str">
        <f t="shared" si="22"/>
        <v/>
      </c>
      <c r="N142" s="22" t="str">
        <f>IF(B142="","",IFERROR(_xlfn.AGGREGATE(14,6,Mișcări!$B$5:$B$2004/(Mișcări!$D$5:$D$2004=B142),1),""))</f>
        <v/>
      </c>
      <c r="O142" s="11" t="str">
        <f t="shared" si="23"/>
        <v/>
      </c>
      <c r="P142" s="21" t="str">
        <f t="shared" si="24"/>
        <v/>
      </c>
    </row>
    <row r="143" spans="2:16" x14ac:dyDescent="0.2">
      <c r="B143" s="11" t="str">
        <f>IF(Produse!B143="","",Produse!B143)</f>
        <v/>
      </c>
      <c r="C143" s="10" t="str">
        <f>IF(B143="","",Produse!C143)</f>
        <v/>
      </c>
      <c r="D143" s="10" t="str">
        <f>IF(B143="","",Produse!D143)</f>
        <v/>
      </c>
      <c r="E143" s="11" t="str">
        <f>IF(B143="","",Produse!E143)</f>
        <v/>
      </c>
      <c r="F143" s="17" t="str">
        <f>IF(B143="","",SUMIFS(Mișcări!$K$5:$K$2004,Mișcări!$D$5:$D$2004,B143,Mișcări!$B$5:$B$2004,"&lt;="&amp;Azi))</f>
        <v/>
      </c>
      <c r="G143" s="18" t="str">
        <f>IF(B143="","",IFERROR(SUMIFS(Mișcări!$L$5:$L$2004,Mișcări!$D$5:$D$2004,B143)/SUMIFS(Mișcări!$F$5:$F$2004,Mișcări!$D$5:$D$2004,B143,Mișcări!$J$5:$J$2004,1,Mișcări!$G$5:$G$2004,"&gt;0"),Produse!G143))</f>
        <v/>
      </c>
      <c r="H143" s="18" t="str">
        <f t="shared" si="20"/>
        <v/>
      </c>
      <c r="I143" s="21" t="str">
        <f>IF(B143="","",Produse!I143)</f>
        <v/>
      </c>
      <c r="J143" s="21" t="str">
        <f>IF(B143="","",Produse!J143)</f>
        <v/>
      </c>
      <c r="K143" s="21" t="str">
        <f>IF(B143="","",-SUMIFS(Mișcări!$K$5:$K$2004,Mișcări!$D$5:$D$2004,B143,Mișcări!$J$5:$J$2004,-1,Mișcări!$B$5:$B$2004,"&gt;"&amp;(Azi-ZileConsum),Mișcări!$B$5:$B$2004,"&lt;="&amp;Azi))</f>
        <v/>
      </c>
      <c r="L143" s="17" t="str">
        <f t="shared" si="21"/>
        <v/>
      </c>
      <c r="M143" s="11" t="str">
        <f t="shared" si="22"/>
        <v/>
      </c>
      <c r="N143" s="22" t="str">
        <f>IF(B143="","",IFERROR(_xlfn.AGGREGATE(14,6,Mișcări!$B$5:$B$2004/(Mișcări!$D$5:$D$2004=B143),1),""))</f>
        <v/>
      </c>
      <c r="O143" s="11" t="str">
        <f t="shared" si="23"/>
        <v/>
      </c>
      <c r="P143" s="21" t="str">
        <f t="shared" si="24"/>
        <v/>
      </c>
    </row>
    <row r="144" spans="2:16" x14ac:dyDescent="0.2">
      <c r="B144" s="11" t="str">
        <f>IF(Produse!B144="","",Produse!B144)</f>
        <v/>
      </c>
      <c r="C144" s="10" t="str">
        <f>IF(B144="","",Produse!C144)</f>
        <v/>
      </c>
      <c r="D144" s="10" t="str">
        <f>IF(B144="","",Produse!D144)</f>
        <v/>
      </c>
      <c r="E144" s="11" t="str">
        <f>IF(B144="","",Produse!E144)</f>
        <v/>
      </c>
      <c r="F144" s="17" t="str">
        <f>IF(B144="","",SUMIFS(Mișcări!$K$5:$K$2004,Mișcări!$D$5:$D$2004,B144,Mișcări!$B$5:$B$2004,"&lt;="&amp;Azi))</f>
        <v/>
      </c>
      <c r="G144" s="18" t="str">
        <f>IF(B144="","",IFERROR(SUMIFS(Mișcări!$L$5:$L$2004,Mișcări!$D$5:$D$2004,B144)/SUMIFS(Mișcări!$F$5:$F$2004,Mișcări!$D$5:$D$2004,B144,Mișcări!$J$5:$J$2004,1,Mișcări!$G$5:$G$2004,"&gt;0"),Produse!G144))</f>
        <v/>
      </c>
      <c r="H144" s="18" t="str">
        <f t="shared" si="20"/>
        <v/>
      </c>
      <c r="I144" s="21" t="str">
        <f>IF(B144="","",Produse!I144)</f>
        <v/>
      </c>
      <c r="J144" s="21" t="str">
        <f>IF(B144="","",Produse!J144)</f>
        <v/>
      </c>
      <c r="K144" s="21" t="str">
        <f>IF(B144="","",-SUMIFS(Mișcări!$K$5:$K$2004,Mișcări!$D$5:$D$2004,B144,Mișcări!$J$5:$J$2004,-1,Mișcări!$B$5:$B$2004,"&gt;"&amp;(Azi-ZileConsum),Mișcări!$B$5:$B$2004,"&lt;="&amp;Azi))</f>
        <v/>
      </c>
      <c r="L144" s="17" t="str">
        <f t="shared" si="21"/>
        <v/>
      </c>
      <c r="M144" s="11" t="str">
        <f t="shared" si="22"/>
        <v/>
      </c>
      <c r="N144" s="22" t="str">
        <f>IF(B144="","",IFERROR(_xlfn.AGGREGATE(14,6,Mișcări!$B$5:$B$2004/(Mișcări!$D$5:$D$2004=B144),1),""))</f>
        <v/>
      </c>
      <c r="O144" s="11" t="str">
        <f t="shared" si="23"/>
        <v/>
      </c>
      <c r="P144" s="21" t="str">
        <f t="shared" si="24"/>
        <v/>
      </c>
    </row>
    <row r="145" spans="2:16" x14ac:dyDescent="0.2">
      <c r="B145" s="11" t="str">
        <f>IF(Produse!B145="","",Produse!B145)</f>
        <v/>
      </c>
      <c r="C145" s="10" t="str">
        <f>IF(B145="","",Produse!C145)</f>
        <v/>
      </c>
      <c r="D145" s="10" t="str">
        <f>IF(B145="","",Produse!D145)</f>
        <v/>
      </c>
      <c r="E145" s="11" t="str">
        <f>IF(B145="","",Produse!E145)</f>
        <v/>
      </c>
      <c r="F145" s="17" t="str">
        <f>IF(B145="","",SUMIFS(Mișcări!$K$5:$K$2004,Mișcări!$D$5:$D$2004,B145,Mișcări!$B$5:$B$2004,"&lt;="&amp;Azi))</f>
        <v/>
      </c>
      <c r="G145" s="18" t="str">
        <f>IF(B145="","",IFERROR(SUMIFS(Mișcări!$L$5:$L$2004,Mișcări!$D$5:$D$2004,B145)/SUMIFS(Mișcări!$F$5:$F$2004,Mișcări!$D$5:$D$2004,B145,Mișcări!$J$5:$J$2004,1,Mișcări!$G$5:$G$2004,"&gt;0"),Produse!G145))</f>
        <v/>
      </c>
      <c r="H145" s="18" t="str">
        <f t="shared" si="20"/>
        <v/>
      </c>
      <c r="I145" s="21" t="str">
        <f>IF(B145="","",Produse!I145)</f>
        <v/>
      </c>
      <c r="J145" s="21" t="str">
        <f>IF(B145="","",Produse!J145)</f>
        <v/>
      </c>
      <c r="K145" s="21" t="str">
        <f>IF(B145="","",-SUMIFS(Mișcări!$K$5:$K$2004,Mișcări!$D$5:$D$2004,B145,Mișcări!$J$5:$J$2004,-1,Mișcări!$B$5:$B$2004,"&gt;"&amp;(Azi-ZileConsum),Mișcări!$B$5:$B$2004,"&lt;="&amp;Azi))</f>
        <v/>
      </c>
      <c r="L145" s="17" t="str">
        <f t="shared" si="21"/>
        <v/>
      </c>
      <c r="M145" s="11" t="str">
        <f t="shared" si="22"/>
        <v/>
      </c>
      <c r="N145" s="22" t="str">
        <f>IF(B145="","",IFERROR(_xlfn.AGGREGATE(14,6,Mișcări!$B$5:$B$2004/(Mișcări!$D$5:$D$2004=B145),1),""))</f>
        <v/>
      </c>
      <c r="O145" s="11" t="str">
        <f t="shared" si="23"/>
        <v/>
      </c>
      <c r="P145" s="21" t="str">
        <f t="shared" si="24"/>
        <v/>
      </c>
    </row>
    <row r="146" spans="2:16" x14ac:dyDescent="0.2">
      <c r="B146" s="11" t="str">
        <f>IF(Produse!B146="","",Produse!B146)</f>
        <v/>
      </c>
      <c r="C146" s="10" t="str">
        <f>IF(B146="","",Produse!C146)</f>
        <v/>
      </c>
      <c r="D146" s="10" t="str">
        <f>IF(B146="","",Produse!D146)</f>
        <v/>
      </c>
      <c r="E146" s="11" t="str">
        <f>IF(B146="","",Produse!E146)</f>
        <v/>
      </c>
      <c r="F146" s="17" t="str">
        <f>IF(B146="","",SUMIFS(Mișcări!$K$5:$K$2004,Mișcări!$D$5:$D$2004,B146,Mișcări!$B$5:$B$2004,"&lt;="&amp;Azi))</f>
        <v/>
      </c>
      <c r="G146" s="18" t="str">
        <f>IF(B146="","",IFERROR(SUMIFS(Mișcări!$L$5:$L$2004,Mișcări!$D$5:$D$2004,B146)/SUMIFS(Mișcări!$F$5:$F$2004,Mișcări!$D$5:$D$2004,B146,Mișcări!$J$5:$J$2004,1,Mișcări!$G$5:$G$2004,"&gt;0"),Produse!G146))</f>
        <v/>
      </c>
      <c r="H146" s="18" t="str">
        <f t="shared" si="20"/>
        <v/>
      </c>
      <c r="I146" s="21" t="str">
        <f>IF(B146="","",Produse!I146)</f>
        <v/>
      </c>
      <c r="J146" s="21" t="str">
        <f>IF(B146="","",Produse!J146)</f>
        <v/>
      </c>
      <c r="K146" s="21" t="str">
        <f>IF(B146="","",-SUMIFS(Mișcări!$K$5:$K$2004,Mișcări!$D$5:$D$2004,B146,Mișcări!$J$5:$J$2004,-1,Mișcări!$B$5:$B$2004,"&gt;"&amp;(Azi-ZileConsum),Mișcări!$B$5:$B$2004,"&lt;="&amp;Azi))</f>
        <v/>
      </c>
      <c r="L146" s="17" t="str">
        <f t="shared" si="21"/>
        <v/>
      </c>
      <c r="M146" s="11" t="str">
        <f t="shared" si="22"/>
        <v/>
      </c>
      <c r="N146" s="22" t="str">
        <f>IF(B146="","",IFERROR(_xlfn.AGGREGATE(14,6,Mișcări!$B$5:$B$2004/(Mișcări!$D$5:$D$2004=B146),1),""))</f>
        <v/>
      </c>
      <c r="O146" s="11" t="str">
        <f t="shared" si="23"/>
        <v/>
      </c>
      <c r="P146" s="21" t="str">
        <f t="shared" si="24"/>
        <v/>
      </c>
    </row>
    <row r="147" spans="2:16" x14ac:dyDescent="0.2">
      <c r="B147" s="11" t="str">
        <f>IF(Produse!B147="","",Produse!B147)</f>
        <v/>
      </c>
      <c r="C147" s="10" t="str">
        <f>IF(B147="","",Produse!C147)</f>
        <v/>
      </c>
      <c r="D147" s="10" t="str">
        <f>IF(B147="","",Produse!D147)</f>
        <v/>
      </c>
      <c r="E147" s="11" t="str">
        <f>IF(B147="","",Produse!E147)</f>
        <v/>
      </c>
      <c r="F147" s="17" t="str">
        <f>IF(B147="","",SUMIFS(Mișcări!$K$5:$K$2004,Mișcări!$D$5:$D$2004,B147,Mișcări!$B$5:$B$2004,"&lt;="&amp;Azi))</f>
        <v/>
      </c>
      <c r="G147" s="18" t="str">
        <f>IF(B147="","",IFERROR(SUMIFS(Mișcări!$L$5:$L$2004,Mișcări!$D$5:$D$2004,B147)/SUMIFS(Mișcări!$F$5:$F$2004,Mișcări!$D$5:$D$2004,B147,Mișcări!$J$5:$J$2004,1,Mișcări!$G$5:$G$2004,"&gt;0"),Produse!G147))</f>
        <v/>
      </c>
      <c r="H147" s="18" t="str">
        <f t="shared" si="20"/>
        <v/>
      </c>
      <c r="I147" s="21" t="str">
        <f>IF(B147="","",Produse!I147)</f>
        <v/>
      </c>
      <c r="J147" s="21" t="str">
        <f>IF(B147="","",Produse!J147)</f>
        <v/>
      </c>
      <c r="K147" s="21" t="str">
        <f>IF(B147="","",-SUMIFS(Mișcări!$K$5:$K$2004,Mișcări!$D$5:$D$2004,B147,Mișcări!$J$5:$J$2004,-1,Mișcări!$B$5:$B$2004,"&gt;"&amp;(Azi-ZileConsum),Mișcări!$B$5:$B$2004,"&lt;="&amp;Azi))</f>
        <v/>
      </c>
      <c r="L147" s="17" t="str">
        <f t="shared" si="21"/>
        <v/>
      </c>
      <c r="M147" s="11" t="str">
        <f t="shared" si="22"/>
        <v/>
      </c>
      <c r="N147" s="22" t="str">
        <f>IF(B147="","",IFERROR(_xlfn.AGGREGATE(14,6,Mișcări!$B$5:$B$2004/(Mișcări!$D$5:$D$2004=B147),1),""))</f>
        <v/>
      </c>
      <c r="O147" s="11" t="str">
        <f t="shared" si="23"/>
        <v/>
      </c>
      <c r="P147" s="21" t="str">
        <f t="shared" si="24"/>
        <v/>
      </c>
    </row>
    <row r="148" spans="2:16" x14ac:dyDescent="0.2">
      <c r="B148" s="11" t="str">
        <f>IF(Produse!B148="","",Produse!B148)</f>
        <v/>
      </c>
      <c r="C148" s="10" t="str">
        <f>IF(B148="","",Produse!C148)</f>
        <v/>
      </c>
      <c r="D148" s="10" t="str">
        <f>IF(B148="","",Produse!D148)</f>
        <v/>
      </c>
      <c r="E148" s="11" t="str">
        <f>IF(B148="","",Produse!E148)</f>
        <v/>
      </c>
      <c r="F148" s="17" t="str">
        <f>IF(B148="","",SUMIFS(Mișcări!$K$5:$K$2004,Mișcări!$D$5:$D$2004,B148,Mișcări!$B$5:$B$2004,"&lt;="&amp;Azi))</f>
        <v/>
      </c>
      <c r="G148" s="18" t="str">
        <f>IF(B148="","",IFERROR(SUMIFS(Mișcări!$L$5:$L$2004,Mișcări!$D$5:$D$2004,B148)/SUMIFS(Mișcări!$F$5:$F$2004,Mișcări!$D$5:$D$2004,B148,Mișcări!$J$5:$J$2004,1,Mișcări!$G$5:$G$2004,"&gt;0"),Produse!G148))</f>
        <v/>
      </c>
      <c r="H148" s="18" t="str">
        <f t="shared" si="20"/>
        <v/>
      </c>
      <c r="I148" s="21" t="str">
        <f>IF(B148="","",Produse!I148)</f>
        <v/>
      </c>
      <c r="J148" s="21" t="str">
        <f>IF(B148="","",Produse!J148)</f>
        <v/>
      </c>
      <c r="K148" s="21" t="str">
        <f>IF(B148="","",-SUMIFS(Mișcări!$K$5:$K$2004,Mișcări!$D$5:$D$2004,B148,Mișcări!$J$5:$J$2004,-1,Mișcări!$B$5:$B$2004,"&gt;"&amp;(Azi-ZileConsum),Mișcări!$B$5:$B$2004,"&lt;="&amp;Azi))</f>
        <v/>
      </c>
      <c r="L148" s="17" t="str">
        <f t="shared" si="21"/>
        <v/>
      </c>
      <c r="M148" s="11" t="str">
        <f t="shared" si="22"/>
        <v/>
      </c>
      <c r="N148" s="22" t="str">
        <f>IF(B148="","",IFERROR(_xlfn.AGGREGATE(14,6,Mișcări!$B$5:$B$2004/(Mișcări!$D$5:$D$2004=B148),1),""))</f>
        <v/>
      </c>
      <c r="O148" s="11" t="str">
        <f t="shared" si="23"/>
        <v/>
      </c>
      <c r="P148" s="21" t="str">
        <f t="shared" si="24"/>
        <v/>
      </c>
    </row>
    <row r="149" spans="2:16" x14ac:dyDescent="0.2">
      <c r="B149" s="11" t="str">
        <f>IF(Produse!B149="","",Produse!B149)</f>
        <v/>
      </c>
      <c r="C149" s="10" t="str">
        <f>IF(B149="","",Produse!C149)</f>
        <v/>
      </c>
      <c r="D149" s="10" t="str">
        <f>IF(B149="","",Produse!D149)</f>
        <v/>
      </c>
      <c r="E149" s="11" t="str">
        <f>IF(B149="","",Produse!E149)</f>
        <v/>
      </c>
      <c r="F149" s="17" t="str">
        <f>IF(B149="","",SUMIFS(Mișcări!$K$5:$K$2004,Mișcări!$D$5:$D$2004,B149,Mișcări!$B$5:$B$2004,"&lt;="&amp;Azi))</f>
        <v/>
      </c>
      <c r="G149" s="18" t="str">
        <f>IF(B149="","",IFERROR(SUMIFS(Mișcări!$L$5:$L$2004,Mișcări!$D$5:$D$2004,B149)/SUMIFS(Mișcări!$F$5:$F$2004,Mișcări!$D$5:$D$2004,B149,Mișcări!$J$5:$J$2004,1,Mișcări!$G$5:$G$2004,"&gt;0"),Produse!G149))</f>
        <v/>
      </c>
      <c r="H149" s="18" t="str">
        <f t="shared" si="20"/>
        <v/>
      </c>
      <c r="I149" s="21" t="str">
        <f>IF(B149="","",Produse!I149)</f>
        <v/>
      </c>
      <c r="J149" s="21" t="str">
        <f>IF(B149="","",Produse!J149)</f>
        <v/>
      </c>
      <c r="K149" s="21" t="str">
        <f>IF(B149="","",-SUMIFS(Mișcări!$K$5:$K$2004,Mișcări!$D$5:$D$2004,B149,Mișcări!$J$5:$J$2004,-1,Mișcări!$B$5:$B$2004,"&gt;"&amp;(Azi-ZileConsum),Mișcări!$B$5:$B$2004,"&lt;="&amp;Azi))</f>
        <v/>
      </c>
      <c r="L149" s="17" t="str">
        <f t="shared" si="21"/>
        <v/>
      </c>
      <c r="M149" s="11" t="str">
        <f t="shared" si="22"/>
        <v/>
      </c>
      <c r="N149" s="22" t="str">
        <f>IF(B149="","",IFERROR(_xlfn.AGGREGATE(14,6,Mișcări!$B$5:$B$2004/(Mișcări!$D$5:$D$2004=B149),1),""))</f>
        <v/>
      </c>
      <c r="O149" s="11" t="str">
        <f t="shared" si="23"/>
        <v/>
      </c>
      <c r="P149" s="21" t="str">
        <f t="shared" si="24"/>
        <v/>
      </c>
    </row>
    <row r="150" spans="2:16" x14ac:dyDescent="0.2">
      <c r="B150" s="11" t="str">
        <f>IF(Produse!B150="","",Produse!B150)</f>
        <v/>
      </c>
      <c r="C150" s="10" t="str">
        <f>IF(B150="","",Produse!C150)</f>
        <v/>
      </c>
      <c r="D150" s="10" t="str">
        <f>IF(B150="","",Produse!D150)</f>
        <v/>
      </c>
      <c r="E150" s="11" t="str">
        <f>IF(B150="","",Produse!E150)</f>
        <v/>
      </c>
      <c r="F150" s="17" t="str">
        <f>IF(B150="","",SUMIFS(Mișcări!$K$5:$K$2004,Mișcări!$D$5:$D$2004,B150,Mișcări!$B$5:$B$2004,"&lt;="&amp;Azi))</f>
        <v/>
      </c>
      <c r="G150" s="18" t="str">
        <f>IF(B150="","",IFERROR(SUMIFS(Mișcări!$L$5:$L$2004,Mișcări!$D$5:$D$2004,B150)/SUMIFS(Mișcări!$F$5:$F$2004,Mișcări!$D$5:$D$2004,B150,Mișcări!$J$5:$J$2004,1,Mișcări!$G$5:$G$2004,"&gt;0"),Produse!G150))</f>
        <v/>
      </c>
      <c r="H150" s="18" t="str">
        <f t="shared" si="20"/>
        <v/>
      </c>
      <c r="I150" s="21" t="str">
        <f>IF(B150="","",Produse!I150)</f>
        <v/>
      </c>
      <c r="J150" s="21" t="str">
        <f>IF(B150="","",Produse!J150)</f>
        <v/>
      </c>
      <c r="K150" s="21" t="str">
        <f>IF(B150="","",-SUMIFS(Mișcări!$K$5:$K$2004,Mișcări!$D$5:$D$2004,B150,Mișcări!$J$5:$J$2004,-1,Mișcări!$B$5:$B$2004,"&gt;"&amp;(Azi-ZileConsum),Mișcări!$B$5:$B$2004,"&lt;="&amp;Azi))</f>
        <v/>
      </c>
      <c r="L150" s="17" t="str">
        <f t="shared" si="21"/>
        <v/>
      </c>
      <c r="M150" s="11" t="str">
        <f t="shared" si="22"/>
        <v/>
      </c>
      <c r="N150" s="22" t="str">
        <f>IF(B150="","",IFERROR(_xlfn.AGGREGATE(14,6,Mișcări!$B$5:$B$2004/(Mișcări!$D$5:$D$2004=B150),1),""))</f>
        <v/>
      </c>
      <c r="O150" s="11" t="str">
        <f t="shared" si="23"/>
        <v/>
      </c>
      <c r="P150" s="21" t="str">
        <f t="shared" si="24"/>
        <v/>
      </c>
    </row>
    <row r="151" spans="2:16" x14ac:dyDescent="0.2">
      <c r="B151" s="11" t="str">
        <f>IF(Produse!B151="","",Produse!B151)</f>
        <v/>
      </c>
      <c r="C151" s="10" t="str">
        <f>IF(B151="","",Produse!C151)</f>
        <v/>
      </c>
      <c r="D151" s="10" t="str">
        <f>IF(B151="","",Produse!D151)</f>
        <v/>
      </c>
      <c r="E151" s="11" t="str">
        <f>IF(B151="","",Produse!E151)</f>
        <v/>
      </c>
      <c r="F151" s="17" t="str">
        <f>IF(B151="","",SUMIFS(Mișcări!$K$5:$K$2004,Mișcări!$D$5:$D$2004,B151,Mișcări!$B$5:$B$2004,"&lt;="&amp;Azi))</f>
        <v/>
      </c>
      <c r="G151" s="18" t="str">
        <f>IF(B151="","",IFERROR(SUMIFS(Mișcări!$L$5:$L$2004,Mișcări!$D$5:$D$2004,B151)/SUMIFS(Mișcări!$F$5:$F$2004,Mișcări!$D$5:$D$2004,B151,Mișcări!$J$5:$J$2004,1,Mișcări!$G$5:$G$2004,"&gt;0"),Produse!G151))</f>
        <v/>
      </c>
      <c r="H151" s="18" t="str">
        <f t="shared" si="20"/>
        <v/>
      </c>
      <c r="I151" s="21" t="str">
        <f>IF(B151="","",Produse!I151)</f>
        <v/>
      </c>
      <c r="J151" s="21" t="str">
        <f>IF(B151="","",Produse!J151)</f>
        <v/>
      </c>
      <c r="K151" s="21" t="str">
        <f>IF(B151="","",-SUMIFS(Mișcări!$K$5:$K$2004,Mișcări!$D$5:$D$2004,B151,Mișcări!$J$5:$J$2004,-1,Mișcări!$B$5:$B$2004,"&gt;"&amp;(Azi-ZileConsum),Mișcări!$B$5:$B$2004,"&lt;="&amp;Azi))</f>
        <v/>
      </c>
      <c r="L151" s="17" t="str">
        <f t="shared" si="21"/>
        <v/>
      </c>
      <c r="M151" s="11" t="str">
        <f t="shared" si="22"/>
        <v/>
      </c>
      <c r="N151" s="22" t="str">
        <f>IF(B151="","",IFERROR(_xlfn.AGGREGATE(14,6,Mișcări!$B$5:$B$2004/(Mișcări!$D$5:$D$2004=B151),1),""))</f>
        <v/>
      </c>
      <c r="O151" s="11" t="str">
        <f t="shared" si="23"/>
        <v/>
      </c>
      <c r="P151" s="21" t="str">
        <f t="shared" si="24"/>
        <v/>
      </c>
    </row>
    <row r="152" spans="2:16" x14ac:dyDescent="0.2">
      <c r="B152" s="11" t="str">
        <f>IF(Produse!B152="","",Produse!B152)</f>
        <v/>
      </c>
      <c r="C152" s="10" t="str">
        <f>IF(B152="","",Produse!C152)</f>
        <v/>
      </c>
      <c r="D152" s="10" t="str">
        <f>IF(B152="","",Produse!D152)</f>
        <v/>
      </c>
      <c r="E152" s="11" t="str">
        <f>IF(B152="","",Produse!E152)</f>
        <v/>
      </c>
      <c r="F152" s="17" t="str">
        <f>IF(B152="","",SUMIFS(Mișcări!$K$5:$K$2004,Mișcări!$D$5:$D$2004,B152,Mișcări!$B$5:$B$2004,"&lt;="&amp;Azi))</f>
        <v/>
      </c>
      <c r="G152" s="18" t="str">
        <f>IF(B152="","",IFERROR(SUMIFS(Mișcări!$L$5:$L$2004,Mișcări!$D$5:$D$2004,B152)/SUMIFS(Mișcări!$F$5:$F$2004,Mișcări!$D$5:$D$2004,B152,Mișcări!$J$5:$J$2004,1,Mișcări!$G$5:$G$2004,"&gt;0"),Produse!G152))</f>
        <v/>
      </c>
      <c r="H152" s="18" t="str">
        <f t="shared" si="20"/>
        <v/>
      </c>
      <c r="I152" s="21" t="str">
        <f>IF(B152="","",Produse!I152)</f>
        <v/>
      </c>
      <c r="J152" s="21" t="str">
        <f>IF(B152="","",Produse!J152)</f>
        <v/>
      </c>
      <c r="K152" s="21" t="str">
        <f>IF(B152="","",-SUMIFS(Mișcări!$K$5:$K$2004,Mișcări!$D$5:$D$2004,B152,Mișcări!$J$5:$J$2004,-1,Mișcări!$B$5:$B$2004,"&gt;"&amp;(Azi-ZileConsum),Mișcări!$B$5:$B$2004,"&lt;="&amp;Azi))</f>
        <v/>
      </c>
      <c r="L152" s="17" t="str">
        <f t="shared" si="21"/>
        <v/>
      </c>
      <c r="M152" s="11" t="str">
        <f t="shared" si="22"/>
        <v/>
      </c>
      <c r="N152" s="22" t="str">
        <f>IF(B152="","",IFERROR(_xlfn.AGGREGATE(14,6,Mișcări!$B$5:$B$2004/(Mișcări!$D$5:$D$2004=B152),1),""))</f>
        <v/>
      </c>
      <c r="O152" s="11" t="str">
        <f t="shared" si="23"/>
        <v/>
      </c>
      <c r="P152" s="21" t="str">
        <f t="shared" si="24"/>
        <v/>
      </c>
    </row>
    <row r="153" spans="2:16" x14ac:dyDescent="0.2">
      <c r="B153" s="11" t="str">
        <f>IF(Produse!B153="","",Produse!B153)</f>
        <v/>
      </c>
      <c r="C153" s="10" t="str">
        <f>IF(B153="","",Produse!C153)</f>
        <v/>
      </c>
      <c r="D153" s="10" t="str">
        <f>IF(B153="","",Produse!D153)</f>
        <v/>
      </c>
      <c r="E153" s="11" t="str">
        <f>IF(B153="","",Produse!E153)</f>
        <v/>
      </c>
      <c r="F153" s="17" t="str">
        <f>IF(B153="","",SUMIFS(Mișcări!$K$5:$K$2004,Mișcări!$D$5:$D$2004,B153,Mișcări!$B$5:$B$2004,"&lt;="&amp;Azi))</f>
        <v/>
      </c>
      <c r="G153" s="18" t="str">
        <f>IF(B153="","",IFERROR(SUMIFS(Mișcări!$L$5:$L$2004,Mișcări!$D$5:$D$2004,B153)/SUMIFS(Mișcări!$F$5:$F$2004,Mișcări!$D$5:$D$2004,B153,Mișcări!$J$5:$J$2004,1,Mișcări!$G$5:$G$2004,"&gt;0"),Produse!G153))</f>
        <v/>
      </c>
      <c r="H153" s="18" t="str">
        <f t="shared" si="20"/>
        <v/>
      </c>
      <c r="I153" s="21" t="str">
        <f>IF(B153="","",Produse!I153)</f>
        <v/>
      </c>
      <c r="J153" s="21" t="str">
        <f>IF(B153="","",Produse!J153)</f>
        <v/>
      </c>
      <c r="K153" s="21" t="str">
        <f>IF(B153="","",-SUMIFS(Mișcări!$K$5:$K$2004,Mișcări!$D$5:$D$2004,B153,Mișcări!$J$5:$J$2004,-1,Mișcări!$B$5:$B$2004,"&gt;"&amp;(Azi-ZileConsum),Mișcări!$B$5:$B$2004,"&lt;="&amp;Azi))</f>
        <v/>
      </c>
      <c r="L153" s="17" t="str">
        <f t="shared" si="21"/>
        <v/>
      </c>
      <c r="M153" s="11" t="str">
        <f t="shared" si="22"/>
        <v/>
      </c>
      <c r="N153" s="22" t="str">
        <f>IF(B153="","",IFERROR(_xlfn.AGGREGATE(14,6,Mișcări!$B$5:$B$2004/(Mișcări!$D$5:$D$2004=B153),1),""))</f>
        <v/>
      </c>
      <c r="O153" s="11" t="str">
        <f t="shared" si="23"/>
        <v/>
      </c>
      <c r="P153" s="21" t="str">
        <f t="shared" si="24"/>
        <v/>
      </c>
    </row>
    <row r="154" spans="2:16" x14ac:dyDescent="0.2">
      <c r="B154" s="11" t="str">
        <f>IF(Produse!B154="","",Produse!B154)</f>
        <v/>
      </c>
      <c r="C154" s="10" t="str">
        <f>IF(B154="","",Produse!C154)</f>
        <v/>
      </c>
      <c r="D154" s="10" t="str">
        <f>IF(B154="","",Produse!D154)</f>
        <v/>
      </c>
      <c r="E154" s="11" t="str">
        <f>IF(B154="","",Produse!E154)</f>
        <v/>
      </c>
      <c r="F154" s="17" t="str">
        <f>IF(B154="","",SUMIFS(Mișcări!$K$5:$K$2004,Mișcări!$D$5:$D$2004,B154,Mișcări!$B$5:$B$2004,"&lt;="&amp;Azi))</f>
        <v/>
      </c>
      <c r="G154" s="18" t="str">
        <f>IF(B154="","",IFERROR(SUMIFS(Mișcări!$L$5:$L$2004,Mișcări!$D$5:$D$2004,B154)/SUMIFS(Mișcări!$F$5:$F$2004,Mișcări!$D$5:$D$2004,B154,Mișcări!$J$5:$J$2004,1,Mișcări!$G$5:$G$2004,"&gt;0"),Produse!G154))</f>
        <v/>
      </c>
      <c r="H154" s="18" t="str">
        <f t="shared" si="20"/>
        <v/>
      </c>
      <c r="I154" s="21" t="str">
        <f>IF(B154="","",Produse!I154)</f>
        <v/>
      </c>
      <c r="J154" s="21" t="str">
        <f>IF(B154="","",Produse!J154)</f>
        <v/>
      </c>
      <c r="K154" s="21" t="str">
        <f>IF(B154="","",-SUMIFS(Mișcări!$K$5:$K$2004,Mișcări!$D$5:$D$2004,B154,Mișcări!$J$5:$J$2004,-1,Mișcări!$B$5:$B$2004,"&gt;"&amp;(Azi-ZileConsum),Mișcări!$B$5:$B$2004,"&lt;="&amp;Azi))</f>
        <v/>
      </c>
      <c r="L154" s="17" t="str">
        <f t="shared" si="21"/>
        <v/>
      </c>
      <c r="M154" s="11" t="str">
        <f t="shared" si="22"/>
        <v/>
      </c>
      <c r="N154" s="22" t="str">
        <f>IF(B154="","",IFERROR(_xlfn.AGGREGATE(14,6,Mișcări!$B$5:$B$2004/(Mișcări!$D$5:$D$2004=B154),1),""))</f>
        <v/>
      </c>
      <c r="O154" s="11" t="str">
        <f t="shared" si="23"/>
        <v/>
      </c>
      <c r="P154" s="21" t="str">
        <f t="shared" si="24"/>
        <v/>
      </c>
    </row>
    <row r="155" spans="2:16" x14ac:dyDescent="0.2">
      <c r="B155" s="11" t="str">
        <f>IF(Produse!B155="","",Produse!B155)</f>
        <v/>
      </c>
      <c r="C155" s="10" t="str">
        <f>IF(B155="","",Produse!C155)</f>
        <v/>
      </c>
      <c r="D155" s="10" t="str">
        <f>IF(B155="","",Produse!D155)</f>
        <v/>
      </c>
      <c r="E155" s="11" t="str">
        <f>IF(B155="","",Produse!E155)</f>
        <v/>
      </c>
      <c r="F155" s="17" t="str">
        <f>IF(B155="","",SUMIFS(Mișcări!$K$5:$K$2004,Mișcări!$D$5:$D$2004,B155,Mișcări!$B$5:$B$2004,"&lt;="&amp;Azi))</f>
        <v/>
      </c>
      <c r="G155" s="18" t="str">
        <f>IF(B155="","",IFERROR(SUMIFS(Mișcări!$L$5:$L$2004,Mișcări!$D$5:$D$2004,B155)/SUMIFS(Mișcări!$F$5:$F$2004,Mișcări!$D$5:$D$2004,B155,Mișcări!$J$5:$J$2004,1,Mișcări!$G$5:$G$2004,"&gt;0"),Produse!G155))</f>
        <v/>
      </c>
      <c r="H155" s="18" t="str">
        <f t="shared" si="20"/>
        <v/>
      </c>
      <c r="I155" s="21" t="str">
        <f>IF(B155="","",Produse!I155)</f>
        <v/>
      </c>
      <c r="J155" s="21" t="str">
        <f>IF(B155="","",Produse!J155)</f>
        <v/>
      </c>
      <c r="K155" s="21" t="str">
        <f>IF(B155="","",-SUMIFS(Mișcări!$K$5:$K$2004,Mișcări!$D$5:$D$2004,B155,Mișcări!$J$5:$J$2004,-1,Mișcări!$B$5:$B$2004,"&gt;"&amp;(Azi-ZileConsum),Mișcări!$B$5:$B$2004,"&lt;="&amp;Azi))</f>
        <v/>
      </c>
      <c r="L155" s="17" t="str">
        <f t="shared" si="21"/>
        <v/>
      </c>
      <c r="M155" s="11" t="str">
        <f t="shared" si="22"/>
        <v/>
      </c>
      <c r="N155" s="22" t="str">
        <f>IF(B155="","",IFERROR(_xlfn.AGGREGATE(14,6,Mișcări!$B$5:$B$2004/(Mișcări!$D$5:$D$2004=B155),1),""))</f>
        <v/>
      </c>
      <c r="O155" s="11" t="str">
        <f t="shared" si="23"/>
        <v/>
      </c>
      <c r="P155" s="21" t="str">
        <f t="shared" si="24"/>
        <v/>
      </c>
    </row>
    <row r="156" spans="2:16" x14ac:dyDescent="0.2">
      <c r="B156" s="11" t="str">
        <f>IF(Produse!B156="","",Produse!B156)</f>
        <v/>
      </c>
      <c r="C156" s="10" t="str">
        <f>IF(B156="","",Produse!C156)</f>
        <v/>
      </c>
      <c r="D156" s="10" t="str">
        <f>IF(B156="","",Produse!D156)</f>
        <v/>
      </c>
      <c r="E156" s="11" t="str">
        <f>IF(B156="","",Produse!E156)</f>
        <v/>
      </c>
      <c r="F156" s="17" t="str">
        <f>IF(B156="","",SUMIFS(Mișcări!$K$5:$K$2004,Mișcări!$D$5:$D$2004,B156,Mișcări!$B$5:$B$2004,"&lt;="&amp;Azi))</f>
        <v/>
      </c>
      <c r="G156" s="18" t="str">
        <f>IF(B156="","",IFERROR(SUMIFS(Mișcări!$L$5:$L$2004,Mișcări!$D$5:$D$2004,B156)/SUMIFS(Mișcări!$F$5:$F$2004,Mișcări!$D$5:$D$2004,B156,Mișcări!$J$5:$J$2004,1,Mișcări!$G$5:$G$2004,"&gt;0"),Produse!G156))</f>
        <v/>
      </c>
      <c r="H156" s="18" t="str">
        <f t="shared" si="20"/>
        <v/>
      </c>
      <c r="I156" s="21" t="str">
        <f>IF(B156="","",Produse!I156)</f>
        <v/>
      </c>
      <c r="J156" s="21" t="str">
        <f>IF(B156="","",Produse!J156)</f>
        <v/>
      </c>
      <c r="K156" s="21" t="str">
        <f>IF(B156="","",-SUMIFS(Mișcări!$K$5:$K$2004,Mișcări!$D$5:$D$2004,B156,Mișcări!$J$5:$J$2004,-1,Mișcări!$B$5:$B$2004,"&gt;"&amp;(Azi-ZileConsum),Mișcări!$B$5:$B$2004,"&lt;="&amp;Azi))</f>
        <v/>
      </c>
      <c r="L156" s="17" t="str">
        <f t="shared" si="21"/>
        <v/>
      </c>
      <c r="M156" s="11" t="str">
        <f t="shared" si="22"/>
        <v/>
      </c>
      <c r="N156" s="22" t="str">
        <f>IF(B156="","",IFERROR(_xlfn.AGGREGATE(14,6,Mișcări!$B$5:$B$2004/(Mișcări!$D$5:$D$2004=B156),1),""))</f>
        <v/>
      </c>
      <c r="O156" s="11" t="str">
        <f t="shared" si="23"/>
        <v/>
      </c>
      <c r="P156" s="21" t="str">
        <f t="shared" si="24"/>
        <v/>
      </c>
    </row>
    <row r="157" spans="2:16" x14ac:dyDescent="0.2">
      <c r="B157" s="11" t="str">
        <f>IF(Produse!B157="","",Produse!B157)</f>
        <v/>
      </c>
      <c r="C157" s="10" t="str">
        <f>IF(B157="","",Produse!C157)</f>
        <v/>
      </c>
      <c r="D157" s="10" t="str">
        <f>IF(B157="","",Produse!D157)</f>
        <v/>
      </c>
      <c r="E157" s="11" t="str">
        <f>IF(B157="","",Produse!E157)</f>
        <v/>
      </c>
      <c r="F157" s="17" t="str">
        <f>IF(B157="","",SUMIFS(Mișcări!$K$5:$K$2004,Mișcări!$D$5:$D$2004,B157,Mișcări!$B$5:$B$2004,"&lt;="&amp;Azi))</f>
        <v/>
      </c>
      <c r="G157" s="18" t="str">
        <f>IF(B157="","",IFERROR(SUMIFS(Mișcări!$L$5:$L$2004,Mișcări!$D$5:$D$2004,B157)/SUMIFS(Mișcări!$F$5:$F$2004,Mișcări!$D$5:$D$2004,B157,Mișcări!$J$5:$J$2004,1,Mișcări!$G$5:$G$2004,"&gt;0"),Produse!G157))</f>
        <v/>
      </c>
      <c r="H157" s="18" t="str">
        <f t="shared" si="20"/>
        <v/>
      </c>
      <c r="I157" s="21" t="str">
        <f>IF(B157="","",Produse!I157)</f>
        <v/>
      </c>
      <c r="J157" s="21" t="str">
        <f>IF(B157="","",Produse!J157)</f>
        <v/>
      </c>
      <c r="K157" s="21" t="str">
        <f>IF(B157="","",-SUMIFS(Mișcări!$K$5:$K$2004,Mișcări!$D$5:$D$2004,B157,Mișcări!$J$5:$J$2004,-1,Mișcări!$B$5:$B$2004,"&gt;"&amp;(Azi-ZileConsum),Mișcări!$B$5:$B$2004,"&lt;="&amp;Azi))</f>
        <v/>
      </c>
      <c r="L157" s="17" t="str">
        <f t="shared" si="21"/>
        <v/>
      </c>
      <c r="M157" s="11" t="str">
        <f t="shared" si="22"/>
        <v/>
      </c>
      <c r="N157" s="22" t="str">
        <f>IF(B157="","",IFERROR(_xlfn.AGGREGATE(14,6,Mișcări!$B$5:$B$2004/(Mișcări!$D$5:$D$2004=B157),1),""))</f>
        <v/>
      </c>
      <c r="O157" s="11" t="str">
        <f t="shared" si="23"/>
        <v/>
      </c>
      <c r="P157" s="21" t="str">
        <f t="shared" si="24"/>
        <v/>
      </c>
    </row>
    <row r="158" spans="2:16" x14ac:dyDescent="0.2">
      <c r="B158" s="11" t="str">
        <f>IF(Produse!B158="","",Produse!B158)</f>
        <v/>
      </c>
      <c r="C158" s="10" t="str">
        <f>IF(B158="","",Produse!C158)</f>
        <v/>
      </c>
      <c r="D158" s="10" t="str">
        <f>IF(B158="","",Produse!D158)</f>
        <v/>
      </c>
      <c r="E158" s="11" t="str">
        <f>IF(B158="","",Produse!E158)</f>
        <v/>
      </c>
      <c r="F158" s="17" t="str">
        <f>IF(B158="","",SUMIFS(Mișcări!$K$5:$K$2004,Mișcări!$D$5:$D$2004,B158,Mișcări!$B$5:$B$2004,"&lt;="&amp;Azi))</f>
        <v/>
      </c>
      <c r="G158" s="18" t="str">
        <f>IF(B158="","",IFERROR(SUMIFS(Mișcări!$L$5:$L$2004,Mișcări!$D$5:$D$2004,B158)/SUMIFS(Mișcări!$F$5:$F$2004,Mișcări!$D$5:$D$2004,B158,Mișcări!$J$5:$J$2004,1,Mișcări!$G$5:$G$2004,"&gt;0"),Produse!G158))</f>
        <v/>
      </c>
      <c r="H158" s="18" t="str">
        <f t="shared" si="20"/>
        <v/>
      </c>
      <c r="I158" s="21" t="str">
        <f>IF(B158="","",Produse!I158)</f>
        <v/>
      </c>
      <c r="J158" s="21" t="str">
        <f>IF(B158="","",Produse!J158)</f>
        <v/>
      </c>
      <c r="K158" s="21" t="str">
        <f>IF(B158="","",-SUMIFS(Mișcări!$K$5:$K$2004,Mișcări!$D$5:$D$2004,B158,Mișcări!$J$5:$J$2004,-1,Mișcări!$B$5:$B$2004,"&gt;"&amp;(Azi-ZileConsum),Mișcări!$B$5:$B$2004,"&lt;="&amp;Azi))</f>
        <v/>
      </c>
      <c r="L158" s="17" t="str">
        <f t="shared" si="21"/>
        <v/>
      </c>
      <c r="M158" s="11" t="str">
        <f t="shared" si="22"/>
        <v/>
      </c>
      <c r="N158" s="22" t="str">
        <f>IF(B158="","",IFERROR(_xlfn.AGGREGATE(14,6,Mișcări!$B$5:$B$2004/(Mișcări!$D$5:$D$2004=B158),1),""))</f>
        <v/>
      </c>
      <c r="O158" s="11" t="str">
        <f t="shared" si="23"/>
        <v/>
      </c>
      <c r="P158" s="21" t="str">
        <f t="shared" si="24"/>
        <v/>
      </c>
    </row>
    <row r="159" spans="2:16" x14ac:dyDescent="0.2">
      <c r="B159" s="11" t="str">
        <f>IF(Produse!B159="","",Produse!B159)</f>
        <v/>
      </c>
      <c r="C159" s="10" t="str">
        <f>IF(B159="","",Produse!C159)</f>
        <v/>
      </c>
      <c r="D159" s="10" t="str">
        <f>IF(B159="","",Produse!D159)</f>
        <v/>
      </c>
      <c r="E159" s="11" t="str">
        <f>IF(B159="","",Produse!E159)</f>
        <v/>
      </c>
      <c r="F159" s="17" t="str">
        <f>IF(B159="","",SUMIFS(Mișcări!$K$5:$K$2004,Mișcări!$D$5:$D$2004,B159,Mișcări!$B$5:$B$2004,"&lt;="&amp;Azi))</f>
        <v/>
      </c>
      <c r="G159" s="18" t="str">
        <f>IF(B159="","",IFERROR(SUMIFS(Mișcări!$L$5:$L$2004,Mișcări!$D$5:$D$2004,B159)/SUMIFS(Mișcări!$F$5:$F$2004,Mișcări!$D$5:$D$2004,B159,Mișcări!$J$5:$J$2004,1,Mișcări!$G$5:$G$2004,"&gt;0"),Produse!G159))</f>
        <v/>
      </c>
      <c r="H159" s="18" t="str">
        <f t="shared" si="20"/>
        <v/>
      </c>
      <c r="I159" s="21" t="str">
        <f>IF(B159="","",Produse!I159)</f>
        <v/>
      </c>
      <c r="J159" s="21" t="str">
        <f>IF(B159="","",Produse!J159)</f>
        <v/>
      </c>
      <c r="K159" s="21" t="str">
        <f>IF(B159="","",-SUMIFS(Mișcări!$K$5:$K$2004,Mișcări!$D$5:$D$2004,B159,Mișcări!$J$5:$J$2004,-1,Mișcări!$B$5:$B$2004,"&gt;"&amp;(Azi-ZileConsum),Mișcări!$B$5:$B$2004,"&lt;="&amp;Azi))</f>
        <v/>
      </c>
      <c r="L159" s="17" t="str">
        <f t="shared" si="21"/>
        <v/>
      </c>
      <c r="M159" s="11" t="str">
        <f t="shared" si="22"/>
        <v/>
      </c>
      <c r="N159" s="22" t="str">
        <f>IF(B159="","",IFERROR(_xlfn.AGGREGATE(14,6,Mișcări!$B$5:$B$2004/(Mișcări!$D$5:$D$2004=B159),1),""))</f>
        <v/>
      </c>
      <c r="O159" s="11" t="str">
        <f t="shared" si="23"/>
        <v/>
      </c>
      <c r="P159" s="21" t="str">
        <f t="shared" si="24"/>
        <v/>
      </c>
    </row>
    <row r="160" spans="2:16" x14ac:dyDescent="0.2">
      <c r="B160" s="11" t="str">
        <f>IF(Produse!B160="","",Produse!B160)</f>
        <v/>
      </c>
      <c r="C160" s="10" t="str">
        <f>IF(B160="","",Produse!C160)</f>
        <v/>
      </c>
      <c r="D160" s="10" t="str">
        <f>IF(B160="","",Produse!D160)</f>
        <v/>
      </c>
      <c r="E160" s="11" t="str">
        <f>IF(B160="","",Produse!E160)</f>
        <v/>
      </c>
      <c r="F160" s="17" t="str">
        <f>IF(B160="","",SUMIFS(Mișcări!$K$5:$K$2004,Mișcări!$D$5:$D$2004,B160,Mișcări!$B$5:$B$2004,"&lt;="&amp;Azi))</f>
        <v/>
      </c>
      <c r="G160" s="18" t="str">
        <f>IF(B160="","",IFERROR(SUMIFS(Mișcări!$L$5:$L$2004,Mișcări!$D$5:$D$2004,B160)/SUMIFS(Mișcări!$F$5:$F$2004,Mișcări!$D$5:$D$2004,B160,Mișcări!$J$5:$J$2004,1,Mișcări!$G$5:$G$2004,"&gt;0"),Produse!G160))</f>
        <v/>
      </c>
      <c r="H160" s="18" t="str">
        <f t="shared" si="20"/>
        <v/>
      </c>
      <c r="I160" s="21" t="str">
        <f>IF(B160="","",Produse!I160)</f>
        <v/>
      </c>
      <c r="J160" s="21" t="str">
        <f>IF(B160="","",Produse!J160)</f>
        <v/>
      </c>
      <c r="K160" s="21" t="str">
        <f>IF(B160="","",-SUMIFS(Mișcări!$K$5:$K$2004,Mișcări!$D$5:$D$2004,B160,Mișcări!$J$5:$J$2004,-1,Mișcări!$B$5:$B$2004,"&gt;"&amp;(Azi-ZileConsum),Mișcări!$B$5:$B$2004,"&lt;="&amp;Azi))</f>
        <v/>
      </c>
      <c r="L160" s="17" t="str">
        <f t="shared" si="21"/>
        <v/>
      </c>
      <c r="M160" s="11" t="str">
        <f t="shared" si="22"/>
        <v/>
      </c>
      <c r="N160" s="22" t="str">
        <f>IF(B160="","",IFERROR(_xlfn.AGGREGATE(14,6,Mișcări!$B$5:$B$2004/(Mișcări!$D$5:$D$2004=B160),1),""))</f>
        <v/>
      </c>
      <c r="O160" s="11" t="str">
        <f t="shared" si="23"/>
        <v/>
      </c>
      <c r="P160" s="21" t="str">
        <f t="shared" si="24"/>
        <v/>
      </c>
    </row>
    <row r="161" spans="2:16" x14ac:dyDescent="0.2">
      <c r="B161" s="11" t="str">
        <f>IF(Produse!B161="","",Produse!B161)</f>
        <v/>
      </c>
      <c r="C161" s="10" t="str">
        <f>IF(B161="","",Produse!C161)</f>
        <v/>
      </c>
      <c r="D161" s="10" t="str">
        <f>IF(B161="","",Produse!D161)</f>
        <v/>
      </c>
      <c r="E161" s="11" t="str">
        <f>IF(B161="","",Produse!E161)</f>
        <v/>
      </c>
      <c r="F161" s="17" t="str">
        <f>IF(B161="","",SUMIFS(Mișcări!$K$5:$K$2004,Mișcări!$D$5:$D$2004,B161,Mișcări!$B$5:$B$2004,"&lt;="&amp;Azi))</f>
        <v/>
      </c>
      <c r="G161" s="18" t="str">
        <f>IF(B161="","",IFERROR(SUMIFS(Mișcări!$L$5:$L$2004,Mișcări!$D$5:$D$2004,B161)/SUMIFS(Mișcări!$F$5:$F$2004,Mișcări!$D$5:$D$2004,B161,Mișcări!$J$5:$J$2004,1,Mișcări!$G$5:$G$2004,"&gt;0"),Produse!G161))</f>
        <v/>
      </c>
      <c r="H161" s="18" t="str">
        <f t="shared" si="20"/>
        <v/>
      </c>
      <c r="I161" s="21" t="str">
        <f>IF(B161="","",Produse!I161)</f>
        <v/>
      </c>
      <c r="J161" s="21" t="str">
        <f>IF(B161="","",Produse!J161)</f>
        <v/>
      </c>
      <c r="K161" s="21" t="str">
        <f>IF(B161="","",-SUMIFS(Mișcări!$K$5:$K$2004,Mișcări!$D$5:$D$2004,B161,Mișcări!$J$5:$J$2004,-1,Mișcări!$B$5:$B$2004,"&gt;"&amp;(Azi-ZileConsum),Mișcări!$B$5:$B$2004,"&lt;="&amp;Azi))</f>
        <v/>
      </c>
      <c r="L161" s="17" t="str">
        <f t="shared" si="21"/>
        <v/>
      </c>
      <c r="M161" s="11" t="str">
        <f t="shared" si="22"/>
        <v/>
      </c>
      <c r="N161" s="22" t="str">
        <f>IF(B161="","",IFERROR(_xlfn.AGGREGATE(14,6,Mișcări!$B$5:$B$2004/(Mișcări!$D$5:$D$2004=B161),1),""))</f>
        <v/>
      </c>
      <c r="O161" s="11" t="str">
        <f t="shared" si="23"/>
        <v/>
      </c>
      <c r="P161" s="21" t="str">
        <f t="shared" si="24"/>
        <v/>
      </c>
    </row>
    <row r="162" spans="2:16" x14ac:dyDescent="0.2">
      <c r="B162" s="11" t="str">
        <f>IF(Produse!B162="","",Produse!B162)</f>
        <v/>
      </c>
      <c r="C162" s="10" t="str">
        <f>IF(B162="","",Produse!C162)</f>
        <v/>
      </c>
      <c r="D162" s="10" t="str">
        <f>IF(B162="","",Produse!D162)</f>
        <v/>
      </c>
      <c r="E162" s="11" t="str">
        <f>IF(B162="","",Produse!E162)</f>
        <v/>
      </c>
      <c r="F162" s="17" t="str">
        <f>IF(B162="","",SUMIFS(Mișcări!$K$5:$K$2004,Mișcări!$D$5:$D$2004,B162,Mișcări!$B$5:$B$2004,"&lt;="&amp;Azi))</f>
        <v/>
      </c>
      <c r="G162" s="18" t="str">
        <f>IF(B162="","",IFERROR(SUMIFS(Mișcări!$L$5:$L$2004,Mișcări!$D$5:$D$2004,B162)/SUMIFS(Mișcări!$F$5:$F$2004,Mișcări!$D$5:$D$2004,B162,Mișcări!$J$5:$J$2004,1,Mișcări!$G$5:$G$2004,"&gt;0"),Produse!G162))</f>
        <v/>
      </c>
      <c r="H162" s="18" t="str">
        <f t="shared" si="20"/>
        <v/>
      </c>
      <c r="I162" s="21" t="str">
        <f>IF(B162="","",Produse!I162)</f>
        <v/>
      </c>
      <c r="J162" s="21" t="str">
        <f>IF(B162="","",Produse!J162)</f>
        <v/>
      </c>
      <c r="K162" s="21" t="str">
        <f>IF(B162="","",-SUMIFS(Mișcări!$K$5:$K$2004,Mișcări!$D$5:$D$2004,B162,Mișcări!$J$5:$J$2004,-1,Mișcări!$B$5:$B$2004,"&gt;"&amp;(Azi-ZileConsum),Mișcări!$B$5:$B$2004,"&lt;="&amp;Azi))</f>
        <v/>
      </c>
      <c r="L162" s="17" t="str">
        <f t="shared" si="21"/>
        <v/>
      </c>
      <c r="M162" s="11" t="str">
        <f t="shared" si="22"/>
        <v/>
      </c>
      <c r="N162" s="22" t="str">
        <f>IF(B162="","",IFERROR(_xlfn.AGGREGATE(14,6,Mișcări!$B$5:$B$2004/(Mișcări!$D$5:$D$2004=B162),1),""))</f>
        <v/>
      </c>
      <c r="O162" s="11" t="str">
        <f t="shared" si="23"/>
        <v/>
      </c>
      <c r="P162" s="21" t="str">
        <f t="shared" si="24"/>
        <v/>
      </c>
    </row>
    <row r="163" spans="2:16" x14ac:dyDescent="0.2">
      <c r="B163" s="11" t="str">
        <f>IF(Produse!B163="","",Produse!B163)</f>
        <v/>
      </c>
      <c r="C163" s="10" t="str">
        <f>IF(B163="","",Produse!C163)</f>
        <v/>
      </c>
      <c r="D163" s="10" t="str">
        <f>IF(B163="","",Produse!D163)</f>
        <v/>
      </c>
      <c r="E163" s="11" t="str">
        <f>IF(B163="","",Produse!E163)</f>
        <v/>
      </c>
      <c r="F163" s="17" t="str">
        <f>IF(B163="","",SUMIFS(Mișcări!$K$5:$K$2004,Mișcări!$D$5:$D$2004,B163,Mișcări!$B$5:$B$2004,"&lt;="&amp;Azi))</f>
        <v/>
      </c>
      <c r="G163" s="18" t="str">
        <f>IF(B163="","",IFERROR(SUMIFS(Mișcări!$L$5:$L$2004,Mișcări!$D$5:$D$2004,B163)/SUMIFS(Mișcări!$F$5:$F$2004,Mișcări!$D$5:$D$2004,B163,Mișcări!$J$5:$J$2004,1,Mișcări!$G$5:$G$2004,"&gt;0"),Produse!G163))</f>
        <v/>
      </c>
      <c r="H163" s="18" t="str">
        <f t="shared" si="20"/>
        <v/>
      </c>
      <c r="I163" s="21" t="str">
        <f>IF(B163="","",Produse!I163)</f>
        <v/>
      </c>
      <c r="J163" s="21" t="str">
        <f>IF(B163="","",Produse!J163)</f>
        <v/>
      </c>
      <c r="K163" s="21" t="str">
        <f>IF(B163="","",-SUMIFS(Mișcări!$K$5:$K$2004,Mișcări!$D$5:$D$2004,B163,Mișcări!$J$5:$J$2004,-1,Mișcări!$B$5:$B$2004,"&gt;"&amp;(Azi-ZileConsum),Mișcări!$B$5:$B$2004,"&lt;="&amp;Azi))</f>
        <v/>
      </c>
      <c r="L163" s="17" t="str">
        <f t="shared" si="21"/>
        <v/>
      </c>
      <c r="M163" s="11" t="str">
        <f t="shared" si="22"/>
        <v/>
      </c>
      <c r="N163" s="22" t="str">
        <f>IF(B163="","",IFERROR(_xlfn.AGGREGATE(14,6,Mișcări!$B$5:$B$2004/(Mișcări!$D$5:$D$2004=B163),1),""))</f>
        <v/>
      </c>
      <c r="O163" s="11" t="str">
        <f t="shared" si="23"/>
        <v/>
      </c>
      <c r="P163" s="21" t="str">
        <f t="shared" si="24"/>
        <v/>
      </c>
    </row>
    <row r="164" spans="2:16" x14ac:dyDescent="0.2">
      <c r="B164" s="11" t="str">
        <f>IF(Produse!B164="","",Produse!B164)</f>
        <v/>
      </c>
      <c r="C164" s="10" t="str">
        <f>IF(B164="","",Produse!C164)</f>
        <v/>
      </c>
      <c r="D164" s="10" t="str">
        <f>IF(B164="","",Produse!D164)</f>
        <v/>
      </c>
      <c r="E164" s="11" t="str">
        <f>IF(B164="","",Produse!E164)</f>
        <v/>
      </c>
      <c r="F164" s="17" t="str">
        <f>IF(B164="","",SUMIFS(Mișcări!$K$5:$K$2004,Mișcări!$D$5:$D$2004,B164,Mișcări!$B$5:$B$2004,"&lt;="&amp;Azi))</f>
        <v/>
      </c>
      <c r="G164" s="18" t="str">
        <f>IF(B164="","",IFERROR(SUMIFS(Mișcări!$L$5:$L$2004,Mișcări!$D$5:$D$2004,B164)/SUMIFS(Mișcări!$F$5:$F$2004,Mișcări!$D$5:$D$2004,B164,Mișcări!$J$5:$J$2004,1,Mișcări!$G$5:$G$2004,"&gt;0"),Produse!G164))</f>
        <v/>
      </c>
      <c r="H164" s="18" t="str">
        <f t="shared" si="20"/>
        <v/>
      </c>
      <c r="I164" s="21" t="str">
        <f>IF(B164="","",Produse!I164)</f>
        <v/>
      </c>
      <c r="J164" s="21" t="str">
        <f>IF(B164="","",Produse!J164)</f>
        <v/>
      </c>
      <c r="K164" s="21" t="str">
        <f>IF(B164="","",-SUMIFS(Mișcări!$K$5:$K$2004,Mișcări!$D$5:$D$2004,B164,Mișcări!$J$5:$J$2004,-1,Mișcări!$B$5:$B$2004,"&gt;"&amp;(Azi-ZileConsum),Mișcări!$B$5:$B$2004,"&lt;="&amp;Azi))</f>
        <v/>
      </c>
      <c r="L164" s="17" t="str">
        <f t="shared" si="21"/>
        <v/>
      </c>
      <c r="M164" s="11" t="str">
        <f t="shared" si="22"/>
        <v/>
      </c>
      <c r="N164" s="22" t="str">
        <f>IF(B164="","",IFERROR(_xlfn.AGGREGATE(14,6,Mișcări!$B$5:$B$2004/(Mișcări!$D$5:$D$2004=B164),1),""))</f>
        <v/>
      </c>
      <c r="O164" s="11" t="str">
        <f t="shared" si="23"/>
        <v/>
      </c>
      <c r="P164" s="21" t="str">
        <f t="shared" si="24"/>
        <v/>
      </c>
    </row>
    <row r="165" spans="2:16" x14ac:dyDescent="0.2">
      <c r="B165" s="11" t="str">
        <f>IF(Produse!B165="","",Produse!B165)</f>
        <v/>
      </c>
      <c r="C165" s="10" t="str">
        <f>IF(B165="","",Produse!C165)</f>
        <v/>
      </c>
      <c r="D165" s="10" t="str">
        <f>IF(B165="","",Produse!D165)</f>
        <v/>
      </c>
      <c r="E165" s="11" t="str">
        <f>IF(B165="","",Produse!E165)</f>
        <v/>
      </c>
      <c r="F165" s="17" t="str">
        <f>IF(B165="","",SUMIFS(Mișcări!$K$5:$K$2004,Mișcări!$D$5:$D$2004,B165,Mișcări!$B$5:$B$2004,"&lt;="&amp;Azi))</f>
        <v/>
      </c>
      <c r="G165" s="18" t="str">
        <f>IF(B165="","",IFERROR(SUMIFS(Mișcări!$L$5:$L$2004,Mișcări!$D$5:$D$2004,B165)/SUMIFS(Mișcări!$F$5:$F$2004,Mișcări!$D$5:$D$2004,B165,Mișcări!$J$5:$J$2004,1,Mișcări!$G$5:$G$2004,"&gt;0"),Produse!G165))</f>
        <v/>
      </c>
      <c r="H165" s="18" t="str">
        <f t="shared" ref="H165:H196" si="25">IF(B165="","",ROUND(MAX(0,F165)*G165,2))</f>
        <v/>
      </c>
      <c r="I165" s="21" t="str">
        <f>IF(B165="","",Produse!I165)</f>
        <v/>
      </c>
      <c r="J165" s="21" t="str">
        <f>IF(B165="","",Produse!J165)</f>
        <v/>
      </c>
      <c r="K165" s="21" t="str">
        <f>IF(B165="","",-SUMIFS(Mișcări!$K$5:$K$2004,Mișcări!$D$5:$D$2004,B165,Mișcări!$J$5:$J$2004,-1,Mișcări!$B$5:$B$2004,"&gt;"&amp;(Azi-ZileConsum),Mișcări!$B$5:$B$2004,"&lt;="&amp;Azi))</f>
        <v/>
      </c>
      <c r="L165" s="17" t="str">
        <f t="shared" ref="L165:L196" si="26">IF(B165="","",K165/ZileConsum)</f>
        <v/>
      </c>
      <c r="M165" s="11" t="str">
        <f t="shared" ref="M165:M196" si="27">IF(B165="","",IF(N(L165)=0,"–",ROUND(MAX(0,F165)/L165,0)))</f>
        <v/>
      </c>
      <c r="N165" s="22" t="str">
        <f>IF(B165="","",IFERROR(_xlfn.AGGREGATE(14,6,Mișcări!$B$5:$B$2004/(Mișcări!$D$5:$D$2004=B165),1),""))</f>
        <v/>
      </c>
      <c r="O165" s="11" t="str">
        <f t="shared" ref="O165:O196" si="28">IF(B165="","",IF(F165&lt;=0,"Ruptură de stoc",IF(F165&lt;I165,"Sub stoc minim",IF(AND(N(J165)&gt;0,F165&gt;J165),"Exces de stoc",IF(AND(N165&lt;&gt;"",Azi-N165&gt;ZileMort),"Fără mișcare","OK")))))</f>
        <v/>
      </c>
      <c r="P165" s="21" t="str">
        <f t="shared" ref="P165:P196" si="29">IF(B165="","",IF(F165&lt;I165,MAX(0,J165-MAX(0,F165)),0))</f>
        <v/>
      </c>
    </row>
    <row r="166" spans="2:16" x14ac:dyDescent="0.2">
      <c r="B166" s="11" t="str">
        <f>IF(Produse!B166="","",Produse!B166)</f>
        <v/>
      </c>
      <c r="C166" s="10" t="str">
        <f>IF(B166="","",Produse!C166)</f>
        <v/>
      </c>
      <c r="D166" s="10" t="str">
        <f>IF(B166="","",Produse!D166)</f>
        <v/>
      </c>
      <c r="E166" s="11" t="str">
        <f>IF(B166="","",Produse!E166)</f>
        <v/>
      </c>
      <c r="F166" s="17" t="str">
        <f>IF(B166="","",SUMIFS(Mișcări!$K$5:$K$2004,Mișcări!$D$5:$D$2004,B166,Mișcări!$B$5:$B$2004,"&lt;="&amp;Azi))</f>
        <v/>
      </c>
      <c r="G166" s="18" t="str">
        <f>IF(B166="","",IFERROR(SUMIFS(Mișcări!$L$5:$L$2004,Mișcări!$D$5:$D$2004,B166)/SUMIFS(Mișcări!$F$5:$F$2004,Mișcări!$D$5:$D$2004,B166,Mișcări!$J$5:$J$2004,1,Mișcări!$G$5:$G$2004,"&gt;0"),Produse!G166))</f>
        <v/>
      </c>
      <c r="H166" s="18" t="str">
        <f t="shared" si="25"/>
        <v/>
      </c>
      <c r="I166" s="21" t="str">
        <f>IF(B166="","",Produse!I166)</f>
        <v/>
      </c>
      <c r="J166" s="21" t="str">
        <f>IF(B166="","",Produse!J166)</f>
        <v/>
      </c>
      <c r="K166" s="21" t="str">
        <f>IF(B166="","",-SUMIFS(Mișcări!$K$5:$K$2004,Mișcări!$D$5:$D$2004,B166,Mișcări!$J$5:$J$2004,-1,Mișcări!$B$5:$B$2004,"&gt;"&amp;(Azi-ZileConsum),Mișcări!$B$5:$B$2004,"&lt;="&amp;Azi))</f>
        <v/>
      </c>
      <c r="L166" s="17" t="str">
        <f t="shared" si="26"/>
        <v/>
      </c>
      <c r="M166" s="11" t="str">
        <f t="shared" si="27"/>
        <v/>
      </c>
      <c r="N166" s="22" t="str">
        <f>IF(B166="","",IFERROR(_xlfn.AGGREGATE(14,6,Mișcări!$B$5:$B$2004/(Mișcări!$D$5:$D$2004=B166),1),""))</f>
        <v/>
      </c>
      <c r="O166" s="11" t="str">
        <f t="shared" si="28"/>
        <v/>
      </c>
      <c r="P166" s="21" t="str">
        <f t="shared" si="29"/>
        <v/>
      </c>
    </row>
    <row r="167" spans="2:16" x14ac:dyDescent="0.2">
      <c r="B167" s="11" t="str">
        <f>IF(Produse!B167="","",Produse!B167)</f>
        <v/>
      </c>
      <c r="C167" s="10" t="str">
        <f>IF(B167="","",Produse!C167)</f>
        <v/>
      </c>
      <c r="D167" s="10" t="str">
        <f>IF(B167="","",Produse!D167)</f>
        <v/>
      </c>
      <c r="E167" s="11" t="str">
        <f>IF(B167="","",Produse!E167)</f>
        <v/>
      </c>
      <c r="F167" s="17" t="str">
        <f>IF(B167="","",SUMIFS(Mișcări!$K$5:$K$2004,Mișcări!$D$5:$D$2004,B167,Mișcări!$B$5:$B$2004,"&lt;="&amp;Azi))</f>
        <v/>
      </c>
      <c r="G167" s="18" t="str">
        <f>IF(B167="","",IFERROR(SUMIFS(Mișcări!$L$5:$L$2004,Mișcări!$D$5:$D$2004,B167)/SUMIFS(Mișcări!$F$5:$F$2004,Mișcări!$D$5:$D$2004,B167,Mișcări!$J$5:$J$2004,1,Mișcări!$G$5:$G$2004,"&gt;0"),Produse!G167))</f>
        <v/>
      </c>
      <c r="H167" s="18" t="str">
        <f t="shared" si="25"/>
        <v/>
      </c>
      <c r="I167" s="21" t="str">
        <f>IF(B167="","",Produse!I167)</f>
        <v/>
      </c>
      <c r="J167" s="21" t="str">
        <f>IF(B167="","",Produse!J167)</f>
        <v/>
      </c>
      <c r="K167" s="21" t="str">
        <f>IF(B167="","",-SUMIFS(Mișcări!$K$5:$K$2004,Mișcări!$D$5:$D$2004,B167,Mișcări!$J$5:$J$2004,-1,Mișcări!$B$5:$B$2004,"&gt;"&amp;(Azi-ZileConsum),Mișcări!$B$5:$B$2004,"&lt;="&amp;Azi))</f>
        <v/>
      </c>
      <c r="L167" s="17" t="str">
        <f t="shared" si="26"/>
        <v/>
      </c>
      <c r="M167" s="11" t="str">
        <f t="shared" si="27"/>
        <v/>
      </c>
      <c r="N167" s="22" t="str">
        <f>IF(B167="","",IFERROR(_xlfn.AGGREGATE(14,6,Mișcări!$B$5:$B$2004/(Mișcări!$D$5:$D$2004=B167),1),""))</f>
        <v/>
      </c>
      <c r="O167" s="11" t="str">
        <f t="shared" si="28"/>
        <v/>
      </c>
      <c r="P167" s="21" t="str">
        <f t="shared" si="29"/>
        <v/>
      </c>
    </row>
    <row r="168" spans="2:16" x14ac:dyDescent="0.2">
      <c r="B168" s="11" t="str">
        <f>IF(Produse!B168="","",Produse!B168)</f>
        <v/>
      </c>
      <c r="C168" s="10" t="str">
        <f>IF(B168="","",Produse!C168)</f>
        <v/>
      </c>
      <c r="D168" s="10" t="str">
        <f>IF(B168="","",Produse!D168)</f>
        <v/>
      </c>
      <c r="E168" s="11" t="str">
        <f>IF(B168="","",Produse!E168)</f>
        <v/>
      </c>
      <c r="F168" s="17" t="str">
        <f>IF(B168="","",SUMIFS(Mișcări!$K$5:$K$2004,Mișcări!$D$5:$D$2004,B168,Mișcări!$B$5:$B$2004,"&lt;="&amp;Azi))</f>
        <v/>
      </c>
      <c r="G168" s="18" t="str">
        <f>IF(B168="","",IFERROR(SUMIFS(Mișcări!$L$5:$L$2004,Mișcări!$D$5:$D$2004,B168)/SUMIFS(Mișcări!$F$5:$F$2004,Mișcări!$D$5:$D$2004,B168,Mișcări!$J$5:$J$2004,1,Mișcări!$G$5:$G$2004,"&gt;0"),Produse!G168))</f>
        <v/>
      </c>
      <c r="H168" s="18" t="str">
        <f t="shared" si="25"/>
        <v/>
      </c>
      <c r="I168" s="21" t="str">
        <f>IF(B168="","",Produse!I168)</f>
        <v/>
      </c>
      <c r="J168" s="21" t="str">
        <f>IF(B168="","",Produse!J168)</f>
        <v/>
      </c>
      <c r="K168" s="21" t="str">
        <f>IF(B168="","",-SUMIFS(Mișcări!$K$5:$K$2004,Mișcări!$D$5:$D$2004,B168,Mișcări!$J$5:$J$2004,-1,Mișcări!$B$5:$B$2004,"&gt;"&amp;(Azi-ZileConsum),Mișcări!$B$5:$B$2004,"&lt;="&amp;Azi))</f>
        <v/>
      </c>
      <c r="L168" s="17" t="str">
        <f t="shared" si="26"/>
        <v/>
      </c>
      <c r="M168" s="11" t="str">
        <f t="shared" si="27"/>
        <v/>
      </c>
      <c r="N168" s="22" t="str">
        <f>IF(B168="","",IFERROR(_xlfn.AGGREGATE(14,6,Mișcări!$B$5:$B$2004/(Mișcări!$D$5:$D$2004=B168),1),""))</f>
        <v/>
      </c>
      <c r="O168" s="11" t="str">
        <f t="shared" si="28"/>
        <v/>
      </c>
      <c r="P168" s="21" t="str">
        <f t="shared" si="29"/>
        <v/>
      </c>
    </row>
    <row r="169" spans="2:16" x14ac:dyDescent="0.2">
      <c r="B169" s="11" t="str">
        <f>IF(Produse!B169="","",Produse!B169)</f>
        <v/>
      </c>
      <c r="C169" s="10" t="str">
        <f>IF(B169="","",Produse!C169)</f>
        <v/>
      </c>
      <c r="D169" s="10" t="str">
        <f>IF(B169="","",Produse!D169)</f>
        <v/>
      </c>
      <c r="E169" s="11" t="str">
        <f>IF(B169="","",Produse!E169)</f>
        <v/>
      </c>
      <c r="F169" s="17" t="str">
        <f>IF(B169="","",SUMIFS(Mișcări!$K$5:$K$2004,Mișcări!$D$5:$D$2004,B169,Mișcări!$B$5:$B$2004,"&lt;="&amp;Azi))</f>
        <v/>
      </c>
      <c r="G169" s="18" t="str">
        <f>IF(B169="","",IFERROR(SUMIFS(Mișcări!$L$5:$L$2004,Mișcări!$D$5:$D$2004,B169)/SUMIFS(Mișcări!$F$5:$F$2004,Mișcări!$D$5:$D$2004,B169,Mișcări!$J$5:$J$2004,1,Mișcări!$G$5:$G$2004,"&gt;0"),Produse!G169))</f>
        <v/>
      </c>
      <c r="H169" s="18" t="str">
        <f t="shared" si="25"/>
        <v/>
      </c>
      <c r="I169" s="21" t="str">
        <f>IF(B169="","",Produse!I169)</f>
        <v/>
      </c>
      <c r="J169" s="21" t="str">
        <f>IF(B169="","",Produse!J169)</f>
        <v/>
      </c>
      <c r="K169" s="21" t="str">
        <f>IF(B169="","",-SUMIFS(Mișcări!$K$5:$K$2004,Mișcări!$D$5:$D$2004,B169,Mișcări!$J$5:$J$2004,-1,Mișcări!$B$5:$B$2004,"&gt;"&amp;(Azi-ZileConsum),Mișcări!$B$5:$B$2004,"&lt;="&amp;Azi))</f>
        <v/>
      </c>
      <c r="L169" s="17" t="str">
        <f t="shared" si="26"/>
        <v/>
      </c>
      <c r="M169" s="11" t="str">
        <f t="shared" si="27"/>
        <v/>
      </c>
      <c r="N169" s="22" t="str">
        <f>IF(B169="","",IFERROR(_xlfn.AGGREGATE(14,6,Mișcări!$B$5:$B$2004/(Mișcări!$D$5:$D$2004=B169),1),""))</f>
        <v/>
      </c>
      <c r="O169" s="11" t="str">
        <f t="shared" si="28"/>
        <v/>
      </c>
      <c r="P169" s="21" t="str">
        <f t="shared" si="29"/>
        <v/>
      </c>
    </row>
    <row r="170" spans="2:16" x14ac:dyDescent="0.2">
      <c r="B170" s="11" t="str">
        <f>IF(Produse!B170="","",Produse!B170)</f>
        <v/>
      </c>
      <c r="C170" s="10" t="str">
        <f>IF(B170="","",Produse!C170)</f>
        <v/>
      </c>
      <c r="D170" s="10" t="str">
        <f>IF(B170="","",Produse!D170)</f>
        <v/>
      </c>
      <c r="E170" s="11" t="str">
        <f>IF(B170="","",Produse!E170)</f>
        <v/>
      </c>
      <c r="F170" s="17" t="str">
        <f>IF(B170="","",SUMIFS(Mișcări!$K$5:$K$2004,Mișcări!$D$5:$D$2004,B170,Mișcări!$B$5:$B$2004,"&lt;="&amp;Azi))</f>
        <v/>
      </c>
      <c r="G170" s="18" t="str">
        <f>IF(B170="","",IFERROR(SUMIFS(Mișcări!$L$5:$L$2004,Mișcări!$D$5:$D$2004,B170)/SUMIFS(Mișcări!$F$5:$F$2004,Mișcări!$D$5:$D$2004,B170,Mișcări!$J$5:$J$2004,1,Mișcări!$G$5:$G$2004,"&gt;0"),Produse!G170))</f>
        <v/>
      </c>
      <c r="H170" s="18" t="str">
        <f t="shared" si="25"/>
        <v/>
      </c>
      <c r="I170" s="21" t="str">
        <f>IF(B170="","",Produse!I170)</f>
        <v/>
      </c>
      <c r="J170" s="21" t="str">
        <f>IF(B170="","",Produse!J170)</f>
        <v/>
      </c>
      <c r="K170" s="21" t="str">
        <f>IF(B170="","",-SUMIFS(Mișcări!$K$5:$K$2004,Mișcări!$D$5:$D$2004,B170,Mișcări!$J$5:$J$2004,-1,Mișcări!$B$5:$B$2004,"&gt;"&amp;(Azi-ZileConsum),Mișcări!$B$5:$B$2004,"&lt;="&amp;Azi))</f>
        <v/>
      </c>
      <c r="L170" s="17" t="str">
        <f t="shared" si="26"/>
        <v/>
      </c>
      <c r="M170" s="11" t="str">
        <f t="shared" si="27"/>
        <v/>
      </c>
      <c r="N170" s="22" t="str">
        <f>IF(B170="","",IFERROR(_xlfn.AGGREGATE(14,6,Mișcări!$B$5:$B$2004/(Mișcări!$D$5:$D$2004=B170),1),""))</f>
        <v/>
      </c>
      <c r="O170" s="11" t="str">
        <f t="shared" si="28"/>
        <v/>
      </c>
      <c r="P170" s="21" t="str">
        <f t="shared" si="29"/>
        <v/>
      </c>
    </row>
    <row r="171" spans="2:16" x14ac:dyDescent="0.2">
      <c r="B171" s="11" t="str">
        <f>IF(Produse!B171="","",Produse!B171)</f>
        <v/>
      </c>
      <c r="C171" s="10" t="str">
        <f>IF(B171="","",Produse!C171)</f>
        <v/>
      </c>
      <c r="D171" s="10" t="str">
        <f>IF(B171="","",Produse!D171)</f>
        <v/>
      </c>
      <c r="E171" s="11" t="str">
        <f>IF(B171="","",Produse!E171)</f>
        <v/>
      </c>
      <c r="F171" s="17" t="str">
        <f>IF(B171="","",SUMIFS(Mișcări!$K$5:$K$2004,Mișcări!$D$5:$D$2004,B171,Mișcări!$B$5:$B$2004,"&lt;="&amp;Azi))</f>
        <v/>
      </c>
      <c r="G171" s="18" t="str">
        <f>IF(B171="","",IFERROR(SUMIFS(Mișcări!$L$5:$L$2004,Mișcări!$D$5:$D$2004,B171)/SUMIFS(Mișcări!$F$5:$F$2004,Mișcări!$D$5:$D$2004,B171,Mișcări!$J$5:$J$2004,1,Mișcări!$G$5:$G$2004,"&gt;0"),Produse!G171))</f>
        <v/>
      </c>
      <c r="H171" s="18" t="str">
        <f t="shared" si="25"/>
        <v/>
      </c>
      <c r="I171" s="21" t="str">
        <f>IF(B171="","",Produse!I171)</f>
        <v/>
      </c>
      <c r="J171" s="21" t="str">
        <f>IF(B171="","",Produse!J171)</f>
        <v/>
      </c>
      <c r="K171" s="21" t="str">
        <f>IF(B171="","",-SUMIFS(Mișcări!$K$5:$K$2004,Mișcări!$D$5:$D$2004,B171,Mișcări!$J$5:$J$2004,-1,Mișcări!$B$5:$B$2004,"&gt;"&amp;(Azi-ZileConsum),Mișcări!$B$5:$B$2004,"&lt;="&amp;Azi))</f>
        <v/>
      </c>
      <c r="L171" s="17" t="str">
        <f t="shared" si="26"/>
        <v/>
      </c>
      <c r="M171" s="11" t="str">
        <f t="shared" si="27"/>
        <v/>
      </c>
      <c r="N171" s="22" t="str">
        <f>IF(B171="","",IFERROR(_xlfn.AGGREGATE(14,6,Mișcări!$B$5:$B$2004/(Mișcări!$D$5:$D$2004=B171),1),""))</f>
        <v/>
      </c>
      <c r="O171" s="11" t="str">
        <f t="shared" si="28"/>
        <v/>
      </c>
      <c r="P171" s="21" t="str">
        <f t="shared" si="29"/>
        <v/>
      </c>
    </row>
    <row r="172" spans="2:16" x14ac:dyDescent="0.2">
      <c r="B172" s="11" t="str">
        <f>IF(Produse!B172="","",Produse!B172)</f>
        <v/>
      </c>
      <c r="C172" s="10" t="str">
        <f>IF(B172="","",Produse!C172)</f>
        <v/>
      </c>
      <c r="D172" s="10" t="str">
        <f>IF(B172="","",Produse!D172)</f>
        <v/>
      </c>
      <c r="E172" s="11" t="str">
        <f>IF(B172="","",Produse!E172)</f>
        <v/>
      </c>
      <c r="F172" s="17" t="str">
        <f>IF(B172="","",SUMIFS(Mișcări!$K$5:$K$2004,Mișcări!$D$5:$D$2004,B172,Mișcări!$B$5:$B$2004,"&lt;="&amp;Azi))</f>
        <v/>
      </c>
      <c r="G172" s="18" t="str">
        <f>IF(B172="","",IFERROR(SUMIFS(Mișcări!$L$5:$L$2004,Mișcări!$D$5:$D$2004,B172)/SUMIFS(Mișcări!$F$5:$F$2004,Mișcări!$D$5:$D$2004,B172,Mișcări!$J$5:$J$2004,1,Mișcări!$G$5:$G$2004,"&gt;0"),Produse!G172))</f>
        <v/>
      </c>
      <c r="H172" s="18" t="str">
        <f t="shared" si="25"/>
        <v/>
      </c>
      <c r="I172" s="21" t="str">
        <f>IF(B172="","",Produse!I172)</f>
        <v/>
      </c>
      <c r="J172" s="21" t="str">
        <f>IF(B172="","",Produse!J172)</f>
        <v/>
      </c>
      <c r="K172" s="21" t="str">
        <f>IF(B172="","",-SUMIFS(Mișcări!$K$5:$K$2004,Mișcări!$D$5:$D$2004,B172,Mișcări!$J$5:$J$2004,-1,Mișcări!$B$5:$B$2004,"&gt;"&amp;(Azi-ZileConsum),Mișcări!$B$5:$B$2004,"&lt;="&amp;Azi))</f>
        <v/>
      </c>
      <c r="L172" s="17" t="str">
        <f t="shared" si="26"/>
        <v/>
      </c>
      <c r="M172" s="11" t="str">
        <f t="shared" si="27"/>
        <v/>
      </c>
      <c r="N172" s="22" t="str">
        <f>IF(B172="","",IFERROR(_xlfn.AGGREGATE(14,6,Mișcări!$B$5:$B$2004/(Mișcări!$D$5:$D$2004=B172),1),""))</f>
        <v/>
      </c>
      <c r="O172" s="11" t="str">
        <f t="shared" si="28"/>
        <v/>
      </c>
      <c r="P172" s="21" t="str">
        <f t="shared" si="29"/>
        <v/>
      </c>
    </row>
    <row r="173" spans="2:16" x14ac:dyDescent="0.2">
      <c r="B173" s="11" t="str">
        <f>IF(Produse!B173="","",Produse!B173)</f>
        <v/>
      </c>
      <c r="C173" s="10" t="str">
        <f>IF(B173="","",Produse!C173)</f>
        <v/>
      </c>
      <c r="D173" s="10" t="str">
        <f>IF(B173="","",Produse!D173)</f>
        <v/>
      </c>
      <c r="E173" s="11" t="str">
        <f>IF(B173="","",Produse!E173)</f>
        <v/>
      </c>
      <c r="F173" s="17" t="str">
        <f>IF(B173="","",SUMIFS(Mișcări!$K$5:$K$2004,Mișcări!$D$5:$D$2004,B173,Mișcări!$B$5:$B$2004,"&lt;="&amp;Azi))</f>
        <v/>
      </c>
      <c r="G173" s="18" t="str">
        <f>IF(B173="","",IFERROR(SUMIFS(Mișcări!$L$5:$L$2004,Mișcări!$D$5:$D$2004,B173)/SUMIFS(Mișcări!$F$5:$F$2004,Mișcări!$D$5:$D$2004,B173,Mișcări!$J$5:$J$2004,1,Mișcări!$G$5:$G$2004,"&gt;0"),Produse!G173))</f>
        <v/>
      </c>
      <c r="H173" s="18" t="str">
        <f t="shared" si="25"/>
        <v/>
      </c>
      <c r="I173" s="21" t="str">
        <f>IF(B173="","",Produse!I173)</f>
        <v/>
      </c>
      <c r="J173" s="21" t="str">
        <f>IF(B173="","",Produse!J173)</f>
        <v/>
      </c>
      <c r="K173" s="21" t="str">
        <f>IF(B173="","",-SUMIFS(Mișcări!$K$5:$K$2004,Mișcări!$D$5:$D$2004,B173,Mișcări!$J$5:$J$2004,-1,Mișcări!$B$5:$B$2004,"&gt;"&amp;(Azi-ZileConsum),Mișcări!$B$5:$B$2004,"&lt;="&amp;Azi))</f>
        <v/>
      </c>
      <c r="L173" s="17" t="str">
        <f t="shared" si="26"/>
        <v/>
      </c>
      <c r="M173" s="11" t="str">
        <f t="shared" si="27"/>
        <v/>
      </c>
      <c r="N173" s="22" t="str">
        <f>IF(B173="","",IFERROR(_xlfn.AGGREGATE(14,6,Mișcări!$B$5:$B$2004/(Mișcări!$D$5:$D$2004=B173),1),""))</f>
        <v/>
      </c>
      <c r="O173" s="11" t="str">
        <f t="shared" si="28"/>
        <v/>
      </c>
      <c r="P173" s="21" t="str">
        <f t="shared" si="29"/>
        <v/>
      </c>
    </row>
    <row r="174" spans="2:16" x14ac:dyDescent="0.2">
      <c r="B174" s="11" t="str">
        <f>IF(Produse!B174="","",Produse!B174)</f>
        <v/>
      </c>
      <c r="C174" s="10" t="str">
        <f>IF(B174="","",Produse!C174)</f>
        <v/>
      </c>
      <c r="D174" s="10" t="str">
        <f>IF(B174="","",Produse!D174)</f>
        <v/>
      </c>
      <c r="E174" s="11" t="str">
        <f>IF(B174="","",Produse!E174)</f>
        <v/>
      </c>
      <c r="F174" s="17" t="str">
        <f>IF(B174="","",SUMIFS(Mișcări!$K$5:$K$2004,Mișcări!$D$5:$D$2004,B174,Mișcări!$B$5:$B$2004,"&lt;="&amp;Azi))</f>
        <v/>
      </c>
      <c r="G174" s="18" t="str">
        <f>IF(B174="","",IFERROR(SUMIFS(Mișcări!$L$5:$L$2004,Mișcări!$D$5:$D$2004,B174)/SUMIFS(Mișcări!$F$5:$F$2004,Mișcări!$D$5:$D$2004,B174,Mișcări!$J$5:$J$2004,1,Mișcări!$G$5:$G$2004,"&gt;0"),Produse!G174))</f>
        <v/>
      </c>
      <c r="H174" s="18" t="str">
        <f t="shared" si="25"/>
        <v/>
      </c>
      <c r="I174" s="21" t="str">
        <f>IF(B174="","",Produse!I174)</f>
        <v/>
      </c>
      <c r="J174" s="21" t="str">
        <f>IF(B174="","",Produse!J174)</f>
        <v/>
      </c>
      <c r="K174" s="21" t="str">
        <f>IF(B174="","",-SUMIFS(Mișcări!$K$5:$K$2004,Mișcări!$D$5:$D$2004,B174,Mișcări!$J$5:$J$2004,-1,Mișcări!$B$5:$B$2004,"&gt;"&amp;(Azi-ZileConsum),Mișcări!$B$5:$B$2004,"&lt;="&amp;Azi))</f>
        <v/>
      </c>
      <c r="L174" s="17" t="str">
        <f t="shared" si="26"/>
        <v/>
      </c>
      <c r="M174" s="11" t="str">
        <f t="shared" si="27"/>
        <v/>
      </c>
      <c r="N174" s="22" t="str">
        <f>IF(B174="","",IFERROR(_xlfn.AGGREGATE(14,6,Mișcări!$B$5:$B$2004/(Mișcări!$D$5:$D$2004=B174),1),""))</f>
        <v/>
      </c>
      <c r="O174" s="11" t="str">
        <f t="shared" si="28"/>
        <v/>
      </c>
      <c r="P174" s="21" t="str">
        <f t="shared" si="29"/>
        <v/>
      </c>
    </row>
    <row r="175" spans="2:16" x14ac:dyDescent="0.2">
      <c r="B175" s="11" t="str">
        <f>IF(Produse!B175="","",Produse!B175)</f>
        <v/>
      </c>
      <c r="C175" s="10" t="str">
        <f>IF(B175="","",Produse!C175)</f>
        <v/>
      </c>
      <c r="D175" s="10" t="str">
        <f>IF(B175="","",Produse!D175)</f>
        <v/>
      </c>
      <c r="E175" s="11" t="str">
        <f>IF(B175="","",Produse!E175)</f>
        <v/>
      </c>
      <c r="F175" s="17" t="str">
        <f>IF(B175="","",SUMIFS(Mișcări!$K$5:$K$2004,Mișcări!$D$5:$D$2004,B175,Mișcări!$B$5:$B$2004,"&lt;="&amp;Azi))</f>
        <v/>
      </c>
      <c r="G175" s="18" t="str">
        <f>IF(B175="","",IFERROR(SUMIFS(Mișcări!$L$5:$L$2004,Mișcări!$D$5:$D$2004,B175)/SUMIFS(Mișcări!$F$5:$F$2004,Mișcări!$D$5:$D$2004,B175,Mișcări!$J$5:$J$2004,1,Mișcări!$G$5:$G$2004,"&gt;0"),Produse!G175))</f>
        <v/>
      </c>
      <c r="H175" s="18" t="str">
        <f t="shared" si="25"/>
        <v/>
      </c>
      <c r="I175" s="21" t="str">
        <f>IF(B175="","",Produse!I175)</f>
        <v/>
      </c>
      <c r="J175" s="21" t="str">
        <f>IF(B175="","",Produse!J175)</f>
        <v/>
      </c>
      <c r="K175" s="21" t="str">
        <f>IF(B175="","",-SUMIFS(Mișcări!$K$5:$K$2004,Mișcări!$D$5:$D$2004,B175,Mișcări!$J$5:$J$2004,-1,Mișcări!$B$5:$B$2004,"&gt;"&amp;(Azi-ZileConsum),Mișcări!$B$5:$B$2004,"&lt;="&amp;Azi))</f>
        <v/>
      </c>
      <c r="L175" s="17" t="str">
        <f t="shared" si="26"/>
        <v/>
      </c>
      <c r="M175" s="11" t="str">
        <f t="shared" si="27"/>
        <v/>
      </c>
      <c r="N175" s="22" t="str">
        <f>IF(B175="","",IFERROR(_xlfn.AGGREGATE(14,6,Mișcări!$B$5:$B$2004/(Mișcări!$D$5:$D$2004=B175),1),""))</f>
        <v/>
      </c>
      <c r="O175" s="11" t="str">
        <f t="shared" si="28"/>
        <v/>
      </c>
      <c r="P175" s="21" t="str">
        <f t="shared" si="29"/>
        <v/>
      </c>
    </row>
    <row r="176" spans="2:16" x14ac:dyDescent="0.2">
      <c r="B176" s="11" t="str">
        <f>IF(Produse!B176="","",Produse!B176)</f>
        <v/>
      </c>
      <c r="C176" s="10" t="str">
        <f>IF(B176="","",Produse!C176)</f>
        <v/>
      </c>
      <c r="D176" s="10" t="str">
        <f>IF(B176="","",Produse!D176)</f>
        <v/>
      </c>
      <c r="E176" s="11" t="str">
        <f>IF(B176="","",Produse!E176)</f>
        <v/>
      </c>
      <c r="F176" s="17" t="str">
        <f>IF(B176="","",SUMIFS(Mișcări!$K$5:$K$2004,Mișcări!$D$5:$D$2004,B176,Mișcări!$B$5:$B$2004,"&lt;="&amp;Azi))</f>
        <v/>
      </c>
      <c r="G176" s="18" t="str">
        <f>IF(B176="","",IFERROR(SUMIFS(Mișcări!$L$5:$L$2004,Mișcări!$D$5:$D$2004,B176)/SUMIFS(Mișcări!$F$5:$F$2004,Mișcări!$D$5:$D$2004,B176,Mișcări!$J$5:$J$2004,1,Mișcări!$G$5:$G$2004,"&gt;0"),Produse!G176))</f>
        <v/>
      </c>
      <c r="H176" s="18" t="str">
        <f t="shared" si="25"/>
        <v/>
      </c>
      <c r="I176" s="21" t="str">
        <f>IF(B176="","",Produse!I176)</f>
        <v/>
      </c>
      <c r="J176" s="21" t="str">
        <f>IF(B176="","",Produse!J176)</f>
        <v/>
      </c>
      <c r="K176" s="21" t="str">
        <f>IF(B176="","",-SUMIFS(Mișcări!$K$5:$K$2004,Mișcări!$D$5:$D$2004,B176,Mișcări!$J$5:$J$2004,-1,Mișcări!$B$5:$B$2004,"&gt;"&amp;(Azi-ZileConsum),Mișcări!$B$5:$B$2004,"&lt;="&amp;Azi))</f>
        <v/>
      </c>
      <c r="L176" s="17" t="str">
        <f t="shared" si="26"/>
        <v/>
      </c>
      <c r="M176" s="11" t="str">
        <f t="shared" si="27"/>
        <v/>
      </c>
      <c r="N176" s="22" t="str">
        <f>IF(B176="","",IFERROR(_xlfn.AGGREGATE(14,6,Mișcări!$B$5:$B$2004/(Mișcări!$D$5:$D$2004=B176),1),""))</f>
        <v/>
      </c>
      <c r="O176" s="11" t="str">
        <f t="shared" si="28"/>
        <v/>
      </c>
      <c r="P176" s="21" t="str">
        <f t="shared" si="29"/>
        <v/>
      </c>
    </row>
    <row r="177" spans="2:16" x14ac:dyDescent="0.2">
      <c r="B177" s="11" t="str">
        <f>IF(Produse!B177="","",Produse!B177)</f>
        <v/>
      </c>
      <c r="C177" s="10" t="str">
        <f>IF(B177="","",Produse!C177)</f>
        <v/>
      </c>
      <c r="D177" s="10" t="str">
        <f>IF(B177="","",Produse!D177)</f>
        <v/>
      </c>
      <c r="E177" s="11" t="str">
        <f>IF(B177="","",Produse!E177)</f>
        <v/>
      </c>
      <c r="F177" s="17" t="str">
        <f>IF(B177="","",SUMIFS(Mișcări!$K$5:$K$2004,Mișcări!$D$5:$D$2004,B177,Mișcări!$B$5:$B$2004,"&lt;="&amp;Azi))</f>
        <v/>
      </c>
      <c r="G177" s="18" t="str">
        <f>IF(B177="","",IFERROR(SUMIFS(Mișcări!$L$5:$L$2004,Mișcări!$D$5:$D$2004,B177)/SUMIFS(Mișcări!$F$5:$F$2004,Mișcări!$D$5:$D$2004,B177,Mișcări!$J$5:$J$2004,1,Mișcări!$G$5:$G$2004,"&gt;0"),Produse!G177))</f>
        <v/>
      </c>
      <c r="H177" s="18" t="str">
        <f t="shared" si="25"/>
        <v/>
      </c>
      <c r="I177" s="21" t="str">
        <f>IF(B177="","",Produse!I177)</f>
        <v/>
      </c>
      <c r="J177" s="21" t="str">
        <f>IF(B177="","",Produse!J177)</f>
        <v/>
      </c>
      <c r="K177" s="21" t="str">
        <f>IF(B177="","",-SUMIFS(Mișcări!$K$5:$K$2004,Mișcări!$D$5:$D$2004,B177,Mișcări!$J$5:$J$2004,-1,Mișcări!$B$5:$B$2004,"&gt;"&amp;(Azi-ZileConsum),Mișcări!$B$5:$B$2004,"&lt;="&amp;Azi))</f>
        <v/>
      </c>
      <c r="L177" s="17" t="str">
        <f t="shared" si="26"/>
        <v/>
      </c>
      <c r="M177" s="11" t="str">
        <f t="shared" si="27"/>
        <v/>
      </c>
      <c r="N177" s="22" t="str">
        <f>IF(B177="","",IFERROR(_xlfn.AGGREGATE(14,6,Mișcări!$B$5:$B$2004/(Mișcări!$D$5:$D$2004=B177),1),""))</f>
        <v/>
      </c>
      <c r="O177" s="11" t="str">
        <f t="shared" si="28"/>
        <v/>
      </c>
      <c r="P177" s="21" t="str">
        <f t="shared" si="29"/>
        <v/>
      </c>
    </row>
    <row r="178" spans="2:16" x14ac:dyDescent="0.2">
      <c r="B178" s="11" t="str">
        <f>IF(Produse!B178="","",Produse!B178)</f>
        <v/>
      </c>
      <c r="C178" s="10" t="str">
        <f>IF(B178="","",Produse!C178)</f>
        <v/>
      </c>
      <c r="D178" s="10" t="str">
        <f>IF(B178="","",Produse!D178)</f>
        <v/>
      </c>
      <c r="E178" s="11" t="str">
        <f>IF(B178="","",Produse!E178)</f>
        <v/>
      </c>
      <c r="F178" s="17" t="str">
        <f>IF(B178="","",SUMIFS(Mișcări!$K$5:$K$2004,Mișcări!$D$5:$D$2004,B178,Mișcări!$B$5:$B$2004,"&lt;="&amp;Azi))</f>
        <v/>
      </c>
      <c r="G178" s="18" t="str">
        <f>IF(B178="","",IFERROR(SUMIFS(Mișcări!$L$5:$L$2004,Mișcări!$D$5:$D$2004,B178)/SUMIFS(Mișcări!$F$5:$F$2004,Mișcări!$D$5:$D$2004,B178,Mișcări!$J$5:$J$2004,1,Mișcări!$G$5:$G$2004,"&gt;0"),Produse!G178))</f>
        <v/>
      </c>
      <c r="H178" s="18" t="str">
        <f t="shared" si="25"/>
        <v/>
      </c>
      <c r="I178" s="21" t="str">
        <f>IF(B178="","",Produse!I178)</f>
        <v/>
      </c>
      <c r="J178" s="21" t="str">
        <f>IF(B178="","",Produse!J178)</f>
        <v/>
      </c>
      <c r="K178" s="21" t="str">
        <f>IF(B178="","",-SUMIFS(Mișcări!$K$5:$K$2004,Mișcări!$D$5:$D$2004,B178,Mișcări!$J$5:$J$2004,-1,Mișcări!$B$5:$B$2004,"&gt;"&amp;(Azi-ZileConsum),Mișcări!$B$5:$B$2004,"&lt;="&amp;Azi))</f>
        <v/>
      </c>
      <c r="L178" s="17" t="str">
        <f t="shared" si="26"/>
        <v/>
      </c>
      <c r="M178" s="11" t="str">
        <f t="shared" si="27"/>
        <v/>
      </c>
      <c r="N178" s="22" t="str">
        <f>IF(B178="","",IFERROR(_xlfn.AGGREGATE(14,6,Mișcări!$B$5:$B$2004/(Mișcări!$D$5:$D$2004=B178),1),""))</f>
        <v/>
      </c>
      <c r="O178" s="11" t="str">
        <f t="shared" si="28"/>
        <v/>
      </c>
      <c r="P178" s="21" t="str">
        <f t="shared" si="29"/>
        <v/>
      </c>
    </row>
    <row r="179" spans="2:16" x14ac:dyDescent="0.2">
      <c r="B179" s="11" t="str">
        <f>IF(Produse!B179="","",Produse!B179)</f>
        <v/>
      </c>
      <c r="C179" s="10" t="str">
        <f>IF(B179="","",Produse!C179)</f>
        <v/>
      </c>
      <c r="D179" s="10" t="str">
        <f>IF(B179="","",Produse!D179)</f>
        <v/>
      </c>
      <c r="E179" s="11" t="str">
        <f>IF(B179="","",Produse!E179)</f>
        <v/>
      </c>
      <c r="F179" s="17" t="str">
        <f>IF(B179="","",SUMIFS(Mișcări!$K$5:$K$2004,Mișcări!$D$5:$D$2004,B179,Mișcări!$B$5:$B$2004,"&lt;="&amp;Azi))</f>
        <v/>
      </c>
      <c r="G179" s="18" t="str">
        <f>IF(B179="","",IFERROR(SUMIFS(Mișcări!$L$5:$L$2004,Mișcări!$D$5:$D$2004,B179)/SUMIFS(Mișcări!$F$5:$F$2004,Mișcări!$D$5:$D$2004,B179,Mișcări!$J$5:$J$2004,1,Mișcări!$G$5:$G$2004,"&gt;0"),Produse!G179))</f>
        <v/>
      </c>
      <c r="H179" s="18" t="str">
        <f t="shared" si="25"/>
        <v/>
      </c>
      <c r="I179" s="21" t="str">
        <f>IF(B179="","",Produse!I179)</f>
        <v/>
      </c>
      <c r="J179" s="21" t="str">
        <f>IF(B179="","",Produse!J179)</f>
        <v/>
      </c>
      <c r="K179" s="21" t="str">
        <f>IF(B179="","",-SUMIFS(Mișcări!$K$5:$K$2004,Mișcări!$D$5:$D$2004,B179,Mișcări!$J$5:$J$2004,-1,Mișcări!$B$5:$B$2004,"&gt;"&amp;(Azi-ZileConsum),Mișcări!$B$5:$B$2004,"&lt;="&amp;Azi))</f>
        <v/>
      </c>
      <c r="L179" s="17" t="str">
        <f t="shared" si="26"/>
        <v/>
      </c>
      <c r="M179" s="11" t="str">
        <f t="shared" si="27"/>
        <v/>
      </c>
      <c r="N179" s="22" t="str">
        <f>IF(B179="","",IFERROR(_xlfn.AGGREGATE(14,6,Mișcări!$B$5:$B$2004/(Mișcări!$D$5:$D$2004=B179),1),""))</f>
        <v/>
      </c>
      <c r="O179" s="11" t="str">
        <f t="shared" si="28"/>
        <v/>
      </c>
      <c r="P179" s="21" t="str">
        <f t="shared" si="29"/>
        <v/>
      </c>
    </row>
    <row r="180" spans="2:16" x14ac:dyDescent="0.2">
      <c r="B180" s="11" t="str">
        <f>IF(Produse!B180="","",Produse!B180)</f>
        <v/>
      </c>
      <c r="C180" s="10" t="str">
        <f>IF(B180="","",Produse!C180)</f>
        <v/>
      </c>
      <c r="D180" s="10" t="str">
        <f>IF(B180="","",Produse!D180)</f>
        <v/>
      </c>
      <c r="E180" s="11" t="str">
        <f>IF(B180="","",Produse!E180)</f>
        <v/>
      </c>
      <c r="F180" s="17" t="str">
        <f>IF(B180="","",SUMIFS(Mișcări!$K$5:$K$2004,Mișcări!$D$5:$D$2004,B180,Mișcări!$B$5:$B$2004,"&lt;="&amp;Azi))</f>
        <v/>
      </c>
      <c r="G180" s="18" t="str">
        <f>IF(B180="","",IFERROR(SUMIFS(Mișcări!$L$5:$L$2004,Mișcări!$D$5:$D$2004,B180)/SUMIFS(Mișcări!$F$5:$F$2004,Mișcări!$D$5:$D$2004,B180,Mișcări!$J$5:$J$2004,1,Mișcări!$G$5:$G$2004,"&gt;0"),Produse!G180))</f>
        <v/>
      </c>
      <c r="H180" s="18" t="str">
        <f t="shared" si="25"/>
        <v/>
      </c>
      <c r="I180" s="21" t="str">
        <f>IF(B180="","",Produse!I180)</f>
        <v/>
      </c>
      <c r="J180" s="21" t="str">
        <f>IF(B180="","",Produse!J180)</f>
        <v/>
      </c>
      <c r="K180" s="21" t="str">
        <f>IF(B180="","",-SUMIFS(Mișcări!$K$5:$K$2004,Mișcări!$D$5:$D$2004,B180,Mișcări!$J$5:$J$2004,-1,Mișcări!$B$5:$B$2004,"&gt;"&amp;(Azi-ZileConsum),Mișcări!$B$5:$B$2004,"&lt;="&amp;Azi))</f>
        <v/>
      </c>
      <c r="L180" s="17" t="str">
        <f t="shared" si="26"/>
        <v/>
      </c>
      <c r="M180" s="11" t="str">
        <f t="shared" si="27"/>
        <v/>
      </c>
      <c r="N180" s="22" t="str">
        <f>IF(B180="","",IFERROR(_xlfn.AGGREGATE(14,6,Mișcări!$B$5:$B$2004/(Mișcări!$D$5:$D$2004=B180),1),""))</f>
        <v/>
      </c>
      <c r="O180" s="11" t="str">
        <f t="shared" si="28"/>
        <v/>
      </c>
      <c r="P180" s="21" t="str">
        <f t="shared" si="29"/>
        <v/>
      </c>
    </row>
    <row r="181" spans="2:16" x14ac:dyDescent="0.2">
      <c r="B181" s="11" t="str">
        <f>IF(Produse!B181="","",Produse!B181)</f>
        <v/>
      </c>
      <c r="C181" s="10" t="str">
        <f>IF(B181="","",Produse!C181)</f>
        <v/>
      </c>
      <c r="D181" s="10" t="str">
        <f>IF(B181="","",Produse!D181)</f>
        <v/>
      </c>
      <c r="E181" s="11" t="str">
        <f>IF(B181="","",Produse!E181)</f>
        <v/>
      </c>
      <c r="F181" s="17" t="str">
        <f>IF(B181="","",SUMIFS(Mișcări!$K$5:$K$2004,Mișcări!$D$5:$D$2004,B181,Mișcări!$B$5:$B$2004,"&lt;="&amp;Azi))</f>
        <v/>
      </c>
      <c r="G181" s="18" t="str">
        <f>IF(B181="","",IFERROR(SUMIFS(Mișcări!$L$5:$L$2004,Mișcări!$D$5:$D$2004,B181)/SUMIFS(Mișcări!$F$5:$F$2004,Mișcări!$D$5:$D$2004,B181,Mișcări!$J$5:$J$2004,1,Mișcări!$G$5:$G$2004,"&gt;0"),Produse!G181))</f>
        <v/>
      </c>
      <c r="H181" s="18" t="str">
        <f t="shared" si="25"/>
        <v/>
      </c>
      <c r="I181" s="21" t="str">
        <f>IF(B181="","",Produse!I181)</f>
        <v/>
      </c>
      <c r="J181" s="21" t="str">
        <f>IF(B181="","",Produse!J181)</f>
        <v/>
      </c>
      <c r="K181" s="21" t="str">
        <f>IF(B181="","",-SUMIFS(Mișcări!$K$5:$K$2004,Mișcări!$D$5:$D$2004,B181,Mișcări!$J$5:$J$2004,-1,Mișcări!$B$5:$B$2004,"&gt;"&amp;(Azi-ZileConsum),Mișcări!$B$5:$B$2004,"&lt;="&amp;Azi))</f>
        <v/>
      </c>
      <c r="L181" s="17" t="str">
        <f t="shared" si="26"/>
        <v/>
      </c>
      <c r="M181" s="11" t="str">
        <f t="shared" si="27"/>
        <v/>
      </c>
      <c r="N181" s="22" t="str">
        <f>IF(B181="","",IFERROR(_xlfn.AGGREGATE(14,6,Mișcări!$B$5:$B$2004/(Mișcări!$D$5:$D$2004=B181),1),""))</f>
        <v/>
      </c>
      <c r="O181" s="11" t="str">
        <f t="shared" si="28"/>
        <v/>
      </c>
      <c r="P181" s="21" t="str">
        <f t="shared" si="29"/>
        <v/>
      </c>
    </row>
    <row r="182" spans="2:16" x14ac:dyDescent="0.2">
      <c r="B182" s="11" t="str">
        <f>IF(Produse!B182="","",Produse!B182)</f>
        <v/>
      </c>
      <c r="C182" s="10" t="str">
        <f>IF(B182="","",Produse!C182)</f>
        <v/>
      </c>
      <c r="D182" s="10" t="str">
        <f>IF(B182="","",Produse!D182)</f>
        <v/>
      </c>
      <c r="E182" s="11" t="str">
        <f>IF(B182="","",Produse!E182)</f>
        <v/>
      </c>
      <c r="F182" s="17" t="str">
        <f>IF(B182="","",SUMIFS(Mișcări!$K$5:$K$2004,Mișcări!$D$5:$D$2004,B182,Mișcări!$B$5:$B$2004,"&lt;="&amp;Azi))</f>
        <v/>
      </c>
      <c r="G182" s="18" t="str">
        <f>IF(B182="","",IFERROR(SUMIFS(Mișcări!$L$5:$L$2004,Mișcări!$D$5:$D$2004,B182)/SUMIFS(Mișcări!$F$5:$F$2004,Mișcări!$D$5:$D$2004,B182,Mișcări!$J$5:$J$2004,1,Mișcări!$G$5:$G$2004,"&gt;0"),Produse!G182))</f>
        <v/>
      </c>
      <c r="H182" s="18" t="str">
        <f t="shared" si="25"/>
        <v/>
      </c>
      <c r="I182" s="21" t="str">
        <f>IF(B182="","",Produse!I182)</f>
        <v/>
      </c>
      <c r="J182" s="21" t="str">
        <f>IF(B182="","",Produse!J182)</f>
        <v/>
      </c>
      <c r="K182" s="21" t="str">
        <f>IF(B182="","",-SUMIFS(Mișcări!$K$5:$K$2004,Mișcări!$D$5:$D$2004,B182,Mișcări!$J$5:$J$2004,-1,Mișcări!$B$5:$B$2004,"&gt;"&amp;(Azi-ZileConsum),Mișcări!$B$5:$B$2004,"&lt;="&amp;Azi))</f>
        <v/>
      </c>
      <c r="L182" s="17" t="str">
        <f t="shared" si="26"/>
        <v/>
      </c>
      <c r="M182" s="11" t="str">
        <f t="shared" si="27"/>
        <v/>
      </c>
      <c r="N182" s="22" t="str">
        <f>IF(B182="","",IFERROR(_xlfn.AGGREGATE(14,6,Mișcări!$B$5:$B$2004/(Mișcări!$D$5:$D$2004=B182),1),""))</f>
        <v/>
      </c>
      <c r="O182" s="11" t="str">
        <f t="shared" si="28"/>
        <v/>
      </c>
      <c r="P182" s="21" t="str">
        <f t="shared" si="29"/>
        <v/>
      </c>
    </row>
    <row r="183" spans="2:16" x14ac:dyDescent="0.2">
      <c r="B183" s="11" t="str">
        <f>IF(Produse!B183="","",Produse!B183)</f>
        <v/>
      </c>
      <c r="C183" s="10" t="str">
        <f>IF(B183="","",Produse!C183)</f>
        <v/>
      </c>
      <c r="D183" s="10" t="str">
        <f>IF(B183="","",Produse!D183)</f>
        <v/>
      </c>
      <c r="E183" s="11" t="str">
        <f>IF(B183="","",Produse!E183)</f>
        <v/>
      </c>
      <c r="F183" s="17" t="str">
        <f>IF(B183="","",SUMIFS(Mișcări!$K$5:$K$2004,Mișcări!$D$5:$D$2004,B183,Mișcări!$B$5:$B$2004,"&lt;="&amp;Azi))</f>
        <v/>
      </c>
      <c r="G183" s="18" t="str">
        <f>IF(B183="","",IFERROR(SUMIFS(Mișcări!$L$5:$L$2004,Mișcări!$D$5:$D$2004,B183)/SUMIFS(Mișcări!$F$5:$F$2004,Mișcări!$D$5:$D$2004,B183,Mișcări!$J$5:$J$2004,1,Mișcări!$G$5:$G$2004,"&gt;0"),Produse!G183))</f>
        <v/>
      </c>
      <c r="H183" s="18" t="str">
        <f t="shared" si="25"/>
        <v/>
      </c>
      <c r="I183" s="21" t="str">
        <f>IF(B183="","",Produse!I183)</f>
        <v/>
      </c>
      <c r="J183" s="21" t="str">
        <f>IF(B183="","",Produse!J183)</f>
        <v/>
      </c>
      <c r="K183" s="21" t="str">
        <f>IF(B183="","",-SUMIFS(Mișcări!$K$5:$K$2004,Mișcări!$D$5:$D$2004,B183,Mișcări!$J$5:$J$2004,-1,Mișcări!$B$5:$B$2004,"&gt;"&amp;(Azi-ZileConsum),Mișcări!$B$5:$B$2004,"&lt;="&amp;Azi))</f>
        <v/>
      </c>
      <c r="L183" s="17" t="str">
        <f t="shared" si="26"/>
        <v/>
      </c>
      <c r="M183" s="11" t="str">
        <f t="shared" si="27"/>
        <v/>
      </c>
      <c r="N183" s="22" t="str">
        <f>IF(B183="","",IFERROR(_xlfn.AGGREGATE(14,6,Mișcări!$B$5:$B$2004/(Mișcări!$D$5:$D$2004=B183),1),""))</f>
        <v/>
      </c>
      <c r="O183" s="11" t="str">
        <f t="shared" si="28"/>
        <v/>
      </c>
      <c r="P183" s="21" t="str">
        <f t="shared" si="29"/>
        <v/>
      </c>
    </row>
    <row r="184" spans="2:16" x14ac:dyDescent="0.2">
      <c r="B184" s="11" t="str">
        <f>IF(Produse!B184="","",Produse!B184)</f>
        <v/>
      </c>
      <c r="C184" s="10" t="str">
        <f>IF(B184="","",Produse!C184)</f>
        <v/>
      </c>
      <c r="D184" s="10" t="str">
        <f>IF(B184="","",Produse!D184)</f>
        <v/>
      </c>
      <c r="E184" s="11" t="str">
        <f>IF(B184="","",Produse!E184)</f>
        <v/>
      </c>
      <c r="F184" s="17" t="str">
        <f>IF(B184="","",SUMIFS(Mișcări!$K$5:$K$2004,Mișcări!$D$5:$D$2004,B184,Mișcări!$B$5:$B$2004,"&lt;="&amp;Azi))</f>
        <v/>
      </c>
      <c r="G184" s="18" t="str">
        <f>IF(B184="","",IFERROR(SUMIFS(Mișcări!$L$5:$L$2004,Mișcări!$D$5:$D$2004,B184)/SUMIFS(Mișcări!$F$5:$F$2004,Mișcări!$D$5:$D$2004,B184,Mișcări!$J$5:$J$2004,1,Mișcări!$G$5:$G$2004,"&gt;0"),Produse!G184))</f>
        <v/>
      </c>
      <c r="H184" s="18" t="str">
        <f t="shared" si="25"/>
        <v/>
      </c>
      <c r="I184" s="21" t="str">
        <f>IF(B184="","",Produse!I184)</f>
        <v/>
      </c>
      <c r="J184" s="21" t="str">
        <f>IF(B184="","",Produse!J184)</f>
        <v/>
      </c>
      <c r="K184" s="21" t="str">
        <f>IF(B184="","",-SUMIFS(Mișcări!$K$5:$K$2004,Mișcări!$D$5:$D$2004,B184,Mișcări!$J$5:$J$2004,-1,Mișcări!$B$5:$B$2004,"&gt;"&amp;(Azi-ZileConsum),Mișcări!$B$5:$B$2004,"&lt;="&amp;Azi))</f>
        <v/>
      </c>
      <c r="L184" s="17" t="str">
        <f t="shared" si="26"/>
        <v/>
      </c>
      <c r="M184" s="11" t="str">
        <f t="shared" si="27"/>
        <v/>
      </c>
      <c r="N184" s="22" t="str">
        <f>IF(B184="","",IFERROR(_xlfn.AGGREGATE(14,6,Mișcări!$B$5:$B$2004/(Mișcări!$D$5:$D$2004=B184),1),""))</f>
        <v/>
      </c>
      <c r="O184" s="11" t="str">
        <f t="shared" si="28"/>
        <v/>
      </c>
      <c r="P184" s="21" t="str">
        <f t="shared" si="29"/>
        <v/>
      </c>
    </row>
    <row r="185" spans="2:16" x14ac:dyDescent="0.2">
      <c r="B185" s="11" t="str">
        <f>IF(Produse!B185="","",Produse!B185)</f>
        <v/>
      </c>
      <c r="C185" s="10" t="str">
        <f>IF(B185="","",Produse!C185)</f>
        <v/>
      </c>
      <c r="D185" s="10" t="str">
        <f>IF(B185="","",Produse!D185)</f>
        <v/>
      </c>
      <c r="E185" s="11" t="str">
        <f>IF(B185="","",Produse!E185)</f>
        <v/>
      </c>
      <c r="F185" s="17" t="str">
        <f>IF(B185="","",SUMIFS(Mișcări!$K$5:$K$2004,Mișcări!$D$5:$D$2004,B185,Mișcări!$B$5:$B$2004,"&lt;="&amp;Azi))</f>
        <v/>
      </c>
      <c r="G185" s="18" t="str">
        <f>IF(B185="","",IFERROR(SUMIFS(Mișcări!$L$5:$L$2004,Mișcări!$D$5:$D$2004,B185)/SUMIFS(Mișcări!$F$5:$F$2004,Mișcări!$D$5:$D$2004,B185,Mișcări!$J$5:$J$2004,1,Mișcări!$G$5:$G$2004,"&gt;0"),Produse!G185))</f>
        <v/>
      </c>
      <c r="H185" s="18" t="str">
        <f t="shared" si="25"/>
        <v/>
      </c>
      <c r="I185" s="21" t="str">
        <f>IF(B185="","",Produse!I185)</f>
        <v/>
      </c>
      <c r="J185" s="21" t="str">
        <f>IF(B185="","",Produse!J185)</f>
        <v/>
      </c>
      <c r="K185" s="21" t="str">
        <f>IF(B185="","",-SUMIFS(Mișcări!$K$5:$K$2004,Mișcări!$D$5:$D$2004,B185,Mișcări!$J$5:$J$2004,-1,Mișcări!$B$5:$B$2004,"&gt;"&amp;(Azi-ZileConsum),Mișcări!$B$5:$B$2004,"&lt;="&amp;Azi))</f>
        <v/>
      </c>
      <c r="L185" s="17" t="str">
        <f t="shared" si="26"/>
        <v/>
      </c>
      <c r="M185" s="11" t="str">
        <f t="shared" si="27"/>
        <v/>
      </c>
      <c r="N185" s="22" t="str">
        <f>IF(B185="","",IFERROR(_xlfn.AGGREGATE(14,6,Mișcări!$B$5:$B$2004/(Mișcări!$D$5:$D$2004=B185),1),""))</f>
        <v/>
      </c>
      <c r="O185" s="11" t="str">
        <f t="shared" si="28"/>
        <v/>
      </c>
      <c r="P185" s="21" t="str">
        <f t="shared" si="29"/>
        <v/>
      </c>
    </row>
    <row r="186" spans="2:16" x14ac:dyDescent="0.2">
      <c r="B186" s="11" t="str">
        <f>IF(Produse!B186="","",Produse!B186)</f>
        <v/>
      </c>
      <c r="C186" s="10" t="str">
        <f>IF(B186="","",Produse!C186)</f>
        <v/>
      </c>
      <c r="D186" s="10" t="str">
        <f>IF(B186="","",Produse!D186)</f>
        <v/>
      </c>
      <c r="E186" s="11" t="str">
        <f>IF(B186="","",Produse!E186)</f>
        <v/>
      </c>
      <c r="F186" s="17" t="str">
        <f>IF(B186="","",SUMIFS(Mișcări!$K$5:$K$2004,Mișcări!$D$5:$D$2004,B186,Mișcări!$B$5:$B$2004,"&lt;="&amp;Azi))</f>
        <v/>
      </c>
      <c r="G186" s="18" t="str">
        <f>IF(B186="","",IFERROR(SUMIFS(Mișcări!$L$5:$L$2004,Mișcări!$D$5:$D$2004,B186)/SUMIFS(Mișcări!$F$5:$F$2004,Mișcări!$D$5:$D$2004,B186,Mișcări!$J$5:$J$2004,1,Mișcări!$G$5:$G$2004,"&gt;0"),Produse!G186))</f>
        <v/>
      </c>
      <c r="H186" s="18" t="str">
        <f t="shared" si="25"/>
        <v/>
      </c>
      <c r="I186" s="21" t="str">
        <f>IF(B186="","",Produse!I186)</f>
        <v/>
      </c>
      <c r="J186" s="21" t="str">
        <f>IF(B186="","",Produse!J186)</f>
        <v/>
      </c>
      <c r="K186" s="21" t="str">
        <f>IF(B186="","",-SUMIFS(Mișcări!$K$5:$K$2004,Mișcări!$D$5:$D$2004,B186,Mișcări!$J$5:$J$2004,-1,Mișcări!$B$5:$B$2004,"&gt;"&amp;(Azi-ZileConsum),Mișcări!$B$5:$B$2004,"&lt;="&amp;Azi))</f>
        <v/>
      </c>
      <c r="L186" s="17" t="str">
        <f t="shared" si="26"/>
        <v/>
      </c>
      <c r="M186" s="11" t="str">
        <f t="shared" si="27"/>
        <v/>
      </c>
      <c r="N186" s="22" t="str">
        <f>IF(B186="","",IFERROR(_xlfn.AGGREGATE(14,6,Mișcări!$B$5:$B$2004/(Mișcări!$D$5:$D$2004=B186),1),""))</f>
        <v/>
      </c>
      <c r="O186" s="11" t="str">
        <f t="shared" si="28"/>
        <v/>
      </c>
      <c r="P186" s="21" t="str">
        <f t="shared" si="29"/>
        <v/>
      </c>
    </row>
    <row r="187" spans="2:16" x14ac:dyDescent="0.2">
      <c r="B187" s="11" t="str">
        <f>IF(Produse!B187="","",Produse!B187)</f>
        <v/>
      </c>
      <c r="C187" s="10" t="str">
        <f>IF(B187="","",Produse!C187)</f>
        <v/>
      </c>
      <c r="D187" s="10" t="str">
        <f>IF(B187="","",Produse!D187)</f>
        <v/>
      </c>
      <c r="E187" s="11" t="str">
        <f>IF(B187="","",Produse!E187)</f>
        <v/>
      </c>
      <c r="F187" s="17" t="str">
        <f>IF(B187="","",SUMIFS(Mișcări!$K$5:$K$2004,Mișcări!$D$5:$D$2004,B187,Mișcări!$B$5:$B$2004,"&lt;="&amp;Azi))</f>
        <v/>
      </c>
      <c r="G187" s="18" t="str">
        <f>IF(B187="","",IFERROR(SUMIFS(Mișcări!$L$5:$L$2004,Mișcări!$D$5:$D$2004,B187)/SUMIFS(Mișcări!$F$5:$F$2004,Mișcări!$D$5:$D$2004,B187,Mișcări!$J$5:$J$2004,1,Mișcări!$G$5:$G$2004,"&gt;0"),Produse!G187))</f>
        <v/>
      </c>
      <c r="H187" s="18" t="str">
        <f t="shared" si="25"/>
        <v/>
      </c>
      <c r="I187" s="21" t="str">
        <f>IF(B187="","",Produse!I187)</f>
        <v/>
      </c>
      <c r="J187" s="21" t="str">
        <f>IF(B187="","",Produse!J187)</f>
        <v/>
      </c>
      <c r="K187" s="21" t="str">
        <f>IF(B187="","",-SUMIFS(Mișcări!$K$5:$K$2004,Mișcări!$D$5:$D$2004,B187,Mișcări!$J$5:$J$2004,-1,Mișcări!$B$5:$B$2004,"&gt;"&amp;(Azi-ZileConsum),Mișcări!$B$5:$B$2004,"&lt;="&amp;Azi))</f>
        <v/>
      </c>
      <c r="L187" s="17" t="str">
        <f t="shared" si="26"/>
        <v/>
      </c>
      <c r="M187" s="11" t="str">
        <f t="shared" si="27"/>
        <v/>
      </c>
      <c r="N187" s="22" t="str">
        <f>IF(B187="","",IFERROR(_xlfn.AGGREGATE(14,6,Mișcări!$B$5:$B$2004/(Mișcări!$D$5:$D$2004=B187),1),""))</f>
        <v/>
      </c>
      <c r="O187" s="11" t="str">
        <f t="shared" si="28"/>
        <v/>
      </c>
      <c r="P187" s="21" t="str">
        <f t="shared" si="29"/>
        <v/>
      </c>
    </row>
    <row r="188" spans="2:16" x14ac:dyDescent="0.2">
      <c r="B188" s="11" t="str">
        <f>IF(Produse!B188="","",Produse!B188)</f>
        <v/>
      </c>
      <c r="C188" s="10" t="str">
        <f>IF(B188="","",Produse!C188)</f>
        <v/>
      </c>
      <c r="D188" s="10" t="str">
        <f>IF(B188="","",Produse!D188)</f>
        <v/>
      </c>
      <c r="E188" s="11" t="str">
        <f>IF(B188="","",Produse!E188)</f>
        <v/>
      </c>
      <c r="F188" s="17" t="str">
        <f>IF(B188="","",SUMIFS(Mișcări!$K$5:$K$2004,Mișcări!$D$5:$D$2004,B188,Mișcări!$B$5:$B$2004,"&lt;="&amp;Azi))</f>
        <v/>
      </c>
      <c r="G188" s="18" t="str">
        <f>IF(B188="","",IFERROR(SUMIFS(Mișcări!$L$5:$L$2004,Mișcări!$D$5:$D$2004,B188)/SUMIFS(Mișcări!$F$5:$F$2004,Mișcări!$D$5:$D$2004,B188,Mișcări!$J$5:$J$2004,1,Mișcări!$G$5:$G$2004,"&gt;0"),Produse!G188))</f>
        <v/>
      </c>
      <c r="H188" s="18" t="str">
        <f t="shared" si="25"/>
        <v/>
      </c>
      <c r="I188" s="21" t="str">
        <f>IF(B188="","",Produse!I188)</f>
        <v/>
      </c>
      <c r="J188" s="21" t="str">
        <f>IF(B188="","",Produse!J188)</f>
        <v/>
      </c>
      <c r="K188" s="21" t="str">
        <f>IF(B188="","",-SUMIFS(Mișcări!$K$5:$K$2004,Mișcări!$D$5:$D$2004,B188,Mișcări!$J$5:$J$2004,-1,Mișcări!$B$5:$B$2004,"&gt;"&amp;(Azi-ZileConsum),Mișcări!$B$5:$B$2004,"&lt;="&amp;Azi))</f>
        <v/>
      </c>
      <c r="L188" s="17" t="str">
        <f t="shared" si="26"/>
        <v/>
      </c>
      <c r="M188" s="11" t="str">
        <f t="shared" si="27"/>
        <v/>
      </c>
      <c r="N188" s="22" t="str">
        <f>IF(B188="","",IFERROR(_xlfn.AGGREGATE(14,6,Mișcări!$B$5:$B$2004/(Mișcări!$D$5:$D$2004=B188),1),""))</f>
        <v/>
      </c>
      <c r="O188" s="11" t="str">
        <f t="shared" si="28"/>
        <v/>
      </c>
      <c r="P188" s="21" t="str">
        <f t="shared" si="29"/>
        <v/>
      </c>
    </row>
    <row r="189" spans="2:16" x14ac:dyDescent="0.2">
      <c r="B189" s="11" t="str">
        <f>IF(Produse!B189="","",Produse!B189)</f>
        <v/>
      </c>
      <c r="C189" s="10" t="str">
        <f>IF(B189="","",Produse!C189)</f>
        <v/>
      </c>
      <c r="D189" s="10" t="str">
        <f>IF(B189="","",Produse!D189)</f>
        <v/>
      </c>
      <c r="E189" s="11" t="str">
        <f>IF(B189="","",Produse!E189)</f>
        <v/>
      </c>
      <c r="F189" s="17" t="str">
        <f>IF(B189="","",SUMIFS(Mișcări!$K$5:$K$2004,Mișcări!$D$5:$D$2004,B189,Mișcări!$B$5:$B$2004,"&lt;="&amp;Azi))</f>
        <v/>
      </c>
      <c r="G189" s="18" t="str">
        <f>IF(B189="","",IFERROR(SUMIFS(Mișcări!$L$5:$L$2004,Mișcări!$D$5:$D$2004,B189)/SUMIFS(Mișcări!$F$5:$F$2004,Mișcări!$D$5:$D$2004,B189,Mișcări!$J$5:$J$2004,1,Mișcări!$G$5:$G$2004,"&gt;0"),Produse!G189))</f>
        <v/>
      </c>
      <c r="H189" s="18" t="str">
        <f t="shared" si="25"/>
        <v/>
      </c>
      <c r="I189" s="21" t="str">
        <f>IF(B189="","",Produse!I189)</f>
        <v/>
      </c>
      <c r="J189" s="21" t="str">
        <f>IF(B189="","",Produse!J189)</f>
        <v/>
      </c>
      <c r="K189" s="21" t="str">
        <f>IF(B189="","",-SUMIFS(Mișcări!$K$5:$K$2004,Mișcări!$D$5:$D$2004,B189,Mișcări!$J$5:$J$2004,-1,Mișcări!$B$5:$B$2004,"&gt;"&amp;(Azi-ZileConsum),Mișcări!$B$5:$B$2004,"&lt;="&amp;Azi))</f>
        <v/>
      </c>
      <c r="L189" s="17" t="str">
        <f t="shared" si="26"/>
        <v/>
      </c>
      <c r="M189" s="11" t="str">
        <f t="shared" si="27"/>
        <v/>
      </c>
      <c r="N189" s="22" t="str">
        <f>IF(B189="","",IFERROR(_xlfn.AGGREGATE(14,6,Mișcări!$B$5:$B$2004/(Mișcări!$D$5:$D$2004=B189),1),""))</f>
        <v/>
      </c>
      <c r="O189" s="11" t="str">
        <f t="shared" si="28"/>
        <v/>
      </c>
      <c r="P189" s="21" t="str">
        <f t="shared" si="29"/>
        <v/>
      </c>
    </row>
    <row r="190" spans="2:16" x14ac:dyDescent="0.2">
      <c r="B190" s="11" t="str">
        <f>IF(Produse!B190="","",Produse!B190)</f>
        <v/>
      </c>
      <c r="C190" s="10" t="str">
        <f>IF(B190="","",Produse!C190)</f>
        <v/>
      </c>
      <c r="D190" s="10" t="str">
        <f>IF(B190="","",Produse!D190)</f>
        <v/>
      </c>
      <c r="E190" s="11" t="str">
        <f>IF(B190="","",Produse!E190)</f>
        <v/>
      </c>
      <c r="F190" s="17" t="str">
        <f>IF(B190="","",SUMIFS(Mișcări!$K$5:$K$2004,Mișcări!$D$5:$D$2004,B190,Mișcări!$B$5:$B$2004,"&lt;="&amp;Azi))</f>
        <v/>
      </c>
      <c r="G190" s="18" t="str">
        <f>IF(B190="","",IFERROR(SUMIFS(Mișcări!$L$5:$L$2004,Mișcări!$D$5:$D$2004,B190)/SUMIFS(Mișcări!$F$5:$F$2004,Mișcări!$D$5:$D$2004,B190,Mișcări!$J$5:$J$2004,1,Mișcări!$G$5:$G$2004,"&gt;0"),Produse!G190))</f>
        <v/>
      </c>
      <c r="H190" s="18" t="str">
        <f t="shared" si="25"/>
        <v/>
      </c>
      <c r="I190" s="21" t="str">
        <f>IF(B190="","",Produse!I190)</f>
        <v/>
      </c>
      <c r="J190" s="21" t="str">
        <f>IF(B190="","",Produse!J190)</f>
        <v/>
      </c>
      <c r="K190" s="21" t="str">
        <f>IF(B190="","",-SUMIFS(Mișcări!$K$5:$K$2004,Mișcări!$D$5:$D$2004,B190,Mișcări!$J$5:$J$2004,-1,Mișcări!$B$5:$B$2004,"&gt;"&amp;(Azi-ZileConsum),Mișcări!$B$5:$B$2004,"&lt;="&amp;Azi))</f>
        <v/>
      </c>
      <c r="L190" s="17" t="str">
        <f t="shared" si="26"/>
        <v/>
      </c>
      <c r="M190" s="11" t="str">
        <f t="shared" si="27"/>
        <v/>
      </c>
      <c r="N190" s="22" t="str">
        <f>IF(B190="","",IFERROR(_xlfn.AGGREGATE(14,6,Mișcări!$B$5:$B$2004/(Mișcări!$D$5:$D$2004=B190),1),""))</f>
        <v/>
      </c>
      <c r="O190" s="11" t="str">
        <f t="shared" si="28"/>
        <v/>
      </c>
      <c r="P190" s="21" t="str">
        <f t="shared" si="29"/>
        <v/>
      </c>
    </row>
    <row r="191" spans="2:16" x14ac:dyDescent="0.2">
      <c r="B191" s="11" t="str">
        <f>IF(Produse!B191="","",Produse!B191)</f>
        <v/>
      </c>
      <c r="C191" s="10" t="str">
        <f>IF(B191="","",Produse!C191)</f>
        <v/>
      </c>
      <c r="D191" s="10" t="str">
        <f>IF(B191="","",Produse!D191)</f>
        <v/>
      </c>
      <c r="E191" s="11" t="str">
        <f>IF(B191="","",Produse!E191)</f>
        <v/>
      </c>
      <c r="F191" s="17" t="str">
        <f>IF(B191="","",SUMIFS(Mișcări!$K$5:$K$2004,Mișcări!$D$5:$D$2004,B191,Mișcări!$B$5:$B$2004,"&lt;="&amp;Azi))</f>
        <v/>
      </c>
      <c r="G191" s="18" t="str">
        <f>IF(B191="","",IFERROR(SUMIFS(Mișcări!$L$5:$L$2004,Mișcări!$D$5:$D$2004,B191)/SUMIFS(Mișcări!$F$5:$F$2004,Mișcări!$D$5:$D$2004,B191,Mișcări!$J$5:$J$2004,1,Mișcări!$G$5:$G$2004,"&gt;0"),Produse!G191))</f>
        <v/>
      </c>
      <c r="H191" s="18" t="str">
        <f t="shared" si="25"/>
        <v/>
      </c>
      <c r="I191" s="21" t="str">
        <f>IF(B191="","",Produse!I191)</f>
        <v/>
      </c>
      <c r="J191" s="21" t="str">
        <f>IF(B191="","",Produse!J191)</f>
        <v/>
      </c>
      <c r="K191" s="21" t="str">
        <f>IF(B191="","",-SUMIFS(Mișcări!$K$5:$K$2004,Mișcări!$D$5:$D$2004,B191,Mișcări!$J$5:$J$2004,-1,Mișcări!$B$5:$B$2004,"&gt;"&amp;(Azi-ZileConsum),Mișcări!$B$5:$B$2004,"&lt;="&amp;Azi))</f>
        <v/>
      </c>
      <c r="L191" s="17" t="str">
        <f t="shared" si="26"/>
        <v/>
      </c>
      <c r="M191" s="11" t="str">
        <f t="shared" si="27"/>
        <v/>
      </c>
      <c r="N191" s="22" t="str">
        <f>IF(B191="","",IFERROR(_xlfn.AGGREGATE(14,6,Mișcări!$B$5:$B$2004/(Mișcări!$D$5:$D$2004=B191),1),""))</f>
        <v/>
      </c>
      <c r="O191" s="11" t="str">
        <f t="shared" si="28"/>
        <v/>
      </c>
      <c r="P191" s="21" t="str">
        <f t="shared" si="29"/>
        <v/>
      </c>
    </row>
    <row r="192" spans="2:16" x14ac:dyDescent="0.2">
      <c r="B192" s="11" t="str">
        <f>IF(Produse!B192="","",Produse!B192)</f>
        <v/>
      </c>
      <c r="C192" s="10" t="str">
        <f>IF(B192="","",Produse!C192)</f>
        <v/>
      </c>
      <c r="D192" s="10" t="str">
        <f>IF(B192="","",Produse!D192)</f>
        <v/>
      </c>
      <c r="E192" s="11" t="str">
        <f>IF(B192="","",Produse!E192)</f>
        <v/>
      </c>
      <c r="F192" s="17" t="str">
        <f>IF(B192="","",SUMIFS(Mișcări!$K$5:$K$2004,Mișcări!$D$5:$D$2004,B192,Mișcări!$B$5:$B$2004,"&lt;="&amp;Azi))</f>
        <v/>
      </c>
      <c r="G192" s="18" t="str">
        <f>IF(B192="","",IFERROR(SUMIFS(Mișcări!$L$5:$L$2004,Mișcări!$D$5:$D$2004,B192)/SUMIFS(Mișcări!$F$5:$F$2004,Mișcări!$D$5:$D$2004,B192,Mișcări!$J$5:$J$2004,1,Mișcări!$G$5:$G$2004,"&gt;0"),Produse!G192))</f>
        <v/>
      </c>
      <c r="H192" s="18" t="str">
        <f t="shared" si="25"/>
        <v/>
      </c>
      <c r="I192" s="21" t="str">
        <f>IF(B192="","",Produse!I192)</f>
        <v/>
      </c>
      <c r="J192" s="21" t="str">
        <f>IF(B192="","",Produse!J192)</f>
        <v/>
      </c>
      <c r="K192" s="21" t="str">
        <f>IF(B192="","",-SUMIFS(Mișcări!$K$5:$K$2004,Mișcări!$D$5:$D$2004,B192,Mișcări!$J$5:$J$2004,-1,Mișcări!$B$5:$B$2004,"&gt;"&amp;(Azi-ZileConsum),Mișcări!$B$5:$B$2004,"&lt;="&amp;Azi))</f>
        <v/>
      </c>
      <c r="L192" s="17" t="str">
        <f t="shared" si="26"/>
        <v/>
      </c>
      <c r="M192" s="11" t="str">
        <f t="shared" si="27"/>
        <v/>
      </c>
      <c r="N192" s="22" t="str">
        <f>IF(B192="","",IFERROR(_xlfn.AGGREGATE(14,6,Mișcări!$B$5:$B$2004/(Mișcări!$D$5:$D$2004=B192),1),""))</f>
        <v/>
      </c>
      <c r="O192" s="11" t="str">
        <f t="shared" si="28"/>
        <v/>
      </c>
      <c r="P192" s="21" t="str">
        <f t="shared" si="29"/>
        <v/>
      </c>
    </row>
    <row r="193" spans="2:16" x14ac:dyDescent="0.2">
      <c r="B193" s="11" t="str">
        <f>IF(Produse!B193="","",Produse!B193)</f>
        <v/>
      </c>
      <c r="C193" s="10" t="str">
        <f>IF(B193="","",Produse!C193)</f>
        <v/>
      </c>
      <c r="D193" s="10" t="str">
        <f>IF(B193="","",Produse!D193)</f>
        <v/>
      </c>
      <c r="E193" s="11" t="str">
        <f>IF(B193="","",Produse!E193)</f>
        <v/>
      </c>
      <c r="F193" s="17" t="str">
        <f>IF(B193="","",SUMIFS(Mișcări!$K$5:$K$2004,Mișcări!$D$5:$D$2004,B193,Mișcări!$B$5:$B$2004,"&lt;="&amp;Azi))</f>
        <v/>
      </c>
      <c r="G193" s="18" t="str">
        <f>IF(B193="","",IFERROR(SUMIFS(Mișcări!$L$5:$L$2004,Mișcări!$D$5:$D$2004,B193)/SUMIFS(Mișcări!$F$5:$F$2004,Mișcări!$D$5:$D$2004,B193,Mișcări!$J$5:$J$2004,1,Mișcări!$G$5:$G$2004,"&gt;0"),Produse!G193))</f>
        <v/>
      </c>
      <c r="H193" s="18" t="str">
        <f t="shared" si="25"/>
        <v/>
      </c>
      <c r="I193" s="21" t="str">
        <f>IF(B193="","",Produse!I193)</f>
        <v/>
      </c>
      <c r="J193" s="21" t="str">
        <f>IF(B193="","",Produse!J193)</f>
        <v/>
      </c>
      <c r="K193" s="21" t="str">
        <f>IF(B193="","",-SUMIFS(Mișcări!$K$5:$K$2004,Mișcări!$D$5:$D$2004,B193,Mișcări!$J$5:$J$2004,-1,Mișcări!$B$5:$B$2004,"&gt;"&amp;(Azi-ZileConsum),Mișcări!$B$5:$B$2004,"&lt;="&amp;Azi))</f>
        <v/>
      </c>
      <c r="L193" s="17" t="str">
        <f t="shared" si="26"/>
        <v/>
      </c>
      <c r="M193" s="11" t="str">
        <f t="shared" si="27"/>
        <v/>
      </c>
      <c r="N193" s="22" t="str">
        <f>IF(B193="","",IFERROR(_xlfn.AGGREGATE(14,6,Mișcări!$B$5:$B$2004/(Mișcări!$D$5:$D$2004=B193),1),""))</f>
        <v/>
      </c>
      <c r="O193" s="11" t="str">
        <f t="shared" si="28"/>
        <v/>
      </c>
      <c r="P193" s="21" t="str">
        <f t="shared" si="29"/>
        <v/>
      </c>
    </row>
    <row r="194" spans="2:16" x14ac:dyDescent="0.2">
      <c r="B194" s="11" t="str">
        <f>IF(Produse!B194="","",Produse!B194)</f>
        <v/>
      </c>
      <c r="C194" s="10" t="str">
        <f>IF(B194="","",Produse!C194)</f>
        <v/>
      </c>
      <c r="D194" s="10" t="str">
        <f>IF(B194="","",Produse!D194)</f>
        <v/>
      </c>
      <c r="E194" s="11" t="str">
        <f>IF(B194="","",Produse!E194)</f>
        <v/>
      </c>
      <c r="F194" s="17" t="str">
        <f>IF(B194="","",SUMIFS(Mișcări!$K$5:$K$2004,Mișcări!$D$5:$D$2004,B194,Mișcări!$B$5:$B$2004,"&lt;="&amp;Azi))</f>
        <v/>
      </c>
      <c r="G194" s="18" t="str">
        <f>IF(B194="","",IFERROR(SUMIFS(Mișcări!$L$5:$L$2004,Mișcări!$D$5:$D$2004,B194)/SUMIFS(Mișcări!$F$5:$F$2004,Mișcări!$D$5:$D$2004,B194,Mișcări!$J$5:$J$2004,1,Mișcări!$G$5:$G$2004,"&gt;0"),Produse!G194))</f>
        <v/>
      </c>
      <c r="H194" s="18" t="str">
        <f t="shared" si="25"/>
        <v/>
      </c>
      <c r="I194" s="21" t="str">
        <f>IF(B194="","",Produse!I194)</f>
        <v/>
      </c>
      <c r="J194" s="21" t="str">
        <f>IF(B194="","",Produse!J194)</f>
        <v/>
      </c>
      <c r="K194" s="21" t="str">
        <f>IF(B194="","",-SUMIFS(Mișcări!$K$5:$K$2004,Mișcări!$D$5:$D$2004,B194,Mișcări!$J$5:$J$2004,-1,Mișcări!$B$5:$B$2004,"&gt;"&amp;(Azi-ZileConsum),Mișcări!$B$5:$B$2004,"&lt;="&amp;Azi))</f>
        <v/>
      </c>
      <c r="L194" s="17" t="str">
        <f t="shared" si="26"/>
        <v/>
      </c>
      <c r="M194" s="11" t="str">
        <f t="shared" si="27"/>
        <v/>
      </c>
      <c r="N194" s="22" t="str">
        <f>IF(B194="","",IFERROR(_xlfn.AGGREGATE(14,6,Mișcări!$B$5:$B$2004/(Mișcări!$D$5:$D$2004=B194),1),""))</f>
        <v/>
      </c>
      <c r="O194" s="11" t="str">
        <f t="shared" si="28"/>
        <v/>
      </c>
      <c r="P194" s="21" t="str">
        <f t="shared" si="29"/>
        <v/>
      </c>
    </row>
    <row r="195" spans="2:16" x14ac:dyDescent="0.2">
      <c r="B195" s="11" t="str">
        <f>IF(Produse!B195="","",Produse!B195)</f>
        <v/>
      </c>
      <c r="C195" s="10" t="str">
        <f>IF(B195="","",Produse!C195)</f>
        <v/>
      </c>
      <c r="D195" s="10" t="str">
        <f>IF(B195="","",Produse!D195)</f>
        <v/>
      </c>
      <c r="E195" s="11" t="str">
        <f>IF(B195="","",Produse!E195)</f>
        <v/>
      </c>
      <c r="F195" s="17" t="str">
        <f>IF(B195="","",SUMIFS(Mișcări!$K$5:$K$2004,Mișcări!$D$5:$D$2004,B195,Mișcări!$B$5:$B$2004,"&lt;="&amp;Azi))</f>
        <v/>
      </c>
      <c r="G195" s="18" t="str">
        <f>IF(B195="","",IFERROR(SUMIFS(Mișcări!$L$5:$L$2004,Mișcări!$D$5:$D$2004,B195)/SUMIFS(Mișcări!$F$5:$F$2004,Mișcări!$D$5:$D$2004,B195,Mișcări!$J$5:$J$2004,1,Mișcări!$G$5:$G$2004,"&gt;0"),Produse!G195))</f>
        <v/>
      </c>
      <c r="H195" s="18" t="str">
        <f t="shared" si="25"/>
        <v/>
      </c>
      <c r="I195" s="21" t="str">
        <f>IF(B195="","",Produse!I195)</f>
        <v/>
      </c>
      <c r="J195" s="21" t="str">
        <f>IF(B195="","",Produse!J195)</f>
        <v/>
      </c>
      <c r="K195" s="21" t="str">
        <f>IF(B195="","",-SUMIFS(Mișcări!$K$5:$K$2004,Mișcări!$D$5:$D$2004,B195,Mișcări!$J$5:$J$2004,-1,Mișcări!$B$5:$B$2004,"&gt;"&amp;(Azi-ZileConsum),Mișcări!$B$5:$B$2004,"&lt;="&amp;Azi))</f>
        <v/>
      </c>
      <c r="L195" s="17" t="str">
        <f t="shared" si="26"/>
        <v/>
      </c>
      <c r="M195" s="11" t="str">
        <f t="shared" si="27"/>
        <v/>
      </c>
      <c r="N195" s="22" t="str">
        <f>IF(B195="","",IFERROR(_xlfn.AGGREGATE(14,6,Mișcări!$B$5:$B$2004/(Mișcări!$D$5:$D$2004=B195),1),""))</f>
        <v/>
      </c>
      <c r="O195" s="11" t="str">
        <f t="shared" si="28"/>
        <v/>
      </c>
      <c r="P195" s="21" t="str">
        <f t="shared" si="29"/>
        <v/>
      </c>
    </row>
    <row r="196" spans="2:16" x14ac:dyDescent="0.2">
      <c r="B196" s="11" t="str">
        <f>IF(Produse!B196="","",Produse!B196)</f>
        <v/>
      </c>
      <c r="C196" s="10" t="str">
        <f>IF(B196="","",Produse!C196)</f>
        <v/>
      </c>
      <c r="D196" s="10" t="str">
        <f>IF(B196="","",Produse!D196)</f>
        <v/>
      </c>
      <c r="E196" s="11" t="str">
        <f>IF(B196="","",Produse!E196)</f>
        <v/>
      </c>
      <c r="F196" s="17" t="str">
        <f>IF(B196="","",SUMIFS(Mișcări!$K$5:$K$2004,Mișcări!$D$5:$D$2004,B196,Mișcări!$B$5:$B$2004,"&lt;="&amp;Azi))</f>
        <v/>
      </c>
      <c r="G196" s="18" t="str">
        <f>IF(B196="","",IFERROR(SUMIFS(Mișcări!$L$5:$L$2004,Mișcări!$D$5:$D$2004,B196)/SUMIFS(Mișcări!$F$5:$F$2004,Mișcări!$D$5:$D$2004,B196,Mișcări!$J$5:$J$2004,1,Mișcări!$G$5:$G$2004,"&gt;0"),Produse!G196))</f>
        <v/>
      </c>
      <c r="H196" s="18" t="str">
        <f t="shared" si="25"/>
        <v/>
      </c>
      <c r="I196" s="21" t="str">
        <f>IF(B196="","",Produse!I196)</f>
        <v/>
      </c>
      <c r="J196" s="21" t="str">
        <f>IF(B196="","",Produse!J196)</f>
        <v/>
      </c>
      <c r="K196" s="21" t="str">
        <f>IF(B196="","",-SUMIFS(Mișcări!$K$5:$K$2004,Mișcări!$D$5:$D$2004,B196,Mișcări!$J$5:$J$2004,-1,Mișcări!$B$5:$B$2004,"&gt;"&amp;(Azi-ZileConsum),Mișcări!$B$5:$B$2004,"&lt;="&amp;Azi))</f>
        <v/>
      </c>
      <c r="L196" s="17" t="str">
        <f t="shared" si="26"/>
        <v/>
      </c>
      <c r="M196" s="11" t="str">
        <f t="shared" si="27"/>
        <v/>
      </c>
      <c r="N196" s="22" t="str">
        <f>IF(B196="","",IFERROR(_xlfn.AGGREGATE(14,6,Mișcări!$B$5:$B$2004/(Mișcări!$D$5:$D$2004=B196),1),""))</f>
        <v/>
      </c>
      <c r="O196" s="11" t="str">
        <f t="shared" si="28"/>
        <v/>
      </c>
      <c r="P196" s="21" t="str">
        <f t="shared" si="29"/>
        <v/>
      </c>
    </row>
    <row r="197" spans="2:16" x14ac:dyDescent="0.2">
      <c r="B197" s="11" t="str">
        <f>IF(Produse!B197="","",Produse!B197)</f>
        <v/>
      </c>
      <c r="C197" s="10" t="str">
        <f>IF(B197="","",Produse!C197)</f>
        <v/>
      </c>
      <c r="D197" s="10" t="str">
        <f>IF(B197="","",Produse!D197)</f>
        <v/>
      </c>
      <c r="E197" s="11" t="str">
        <f>IF(B197="","",Produse!E197)</f>
        <v/>
      </c>
      <c r="F197" s="17" t="str">
        <f>IF(B197="","",SUMIFS(Mișcări!$K$5:$K$2004,Mișcări!$D$5:$D$2004,B197,Mișcări!$B$5:$B$2004,"&lt;="&amp;Azi))</f>
        <v/>
      </c>
      <c r="G197" s="18" t="str">
        <f>IF(B197="","",IFERROR(SUMIFS(Mișcări!$L$5:$L$2004,Mișcări!$D$5:$D$2004,B197)/SUMIFS(Mișcări!$F$5:$F$2004,Mișcări!$D$5:$D$2004,B197,Mișcări!$J$5:$J$2004,1,Mișcări!$G$5:$G$2004,"&gt;0"),Produse!G197))</f>
        <v/>
      </c>
      <c r="H197" s="18" t="str">
        <f t="shared" ref="H197:H204" si="30">IF(B197="","",ROUND(MAX(0,F197)*G197,2))</f>
        <v/>
      </c>
      <c r="I197" s="21" t="str">
        <f>IF(B197="","",Produse!I197)</f>
        <v/>
      </c>
      <c r="J197" s="21" t="str">
        <f>IF(B197="","",Produse!J197)</f>
        <v/>
      </c>
      <c r="K197" s="21" t="str">
        <f>IF(B197="","",-SUMIFS(Mișcări!$K$5:$K$2004,Mișcări!$D$5:$D$2004,B197,Mișcări!$J$5:$J$2004,-1,Mișcări!$B$5:$B$2004,"&gt;"&amp;(Azi-ZileConsum),Mișcări!$B$5:$B$2004,"&lt;="&amp;Azi))</f>
        <v/>
      </c>
      <c r="L197" s="17" t="str">
        <f t="shared" ref="L197:L228" si="31">IF(B197="","",K197/ZileConsum)</f>
        <v/>
      </c>
      <c r="M197" s="11" t="str">
        <f t="shared" ref="M197:M204" si="32">IF(B197="","",IF(N(L197)=0,"–",ROUND(MAX(0,F197)/L197,0)))</f>
        <v/>
      </c>
      <c r="N197" s="22" t="str">
        <f>IF(B197="","",IFERROR(_xlfn.AGGREGATE(14,6,Mișcări!$B$5:$B$2004/(Mișcări!$D$5:$D$2004=B197),1),""))</f>
        <v/>
      </c>
      <c r="O197" s="11" t="str">
        <f t="shared" ref="O197:O228" si="33">IF(B197="","",IF(F197&lt;=0,"Ruptură de stoc",IF(F197&lt;I197,"Sub stoc minim",IF(AND(N(J197)&gt;0,F197&gt;J197),"Exces de stoc",IF(AND(N197&lt;&gt;"",Azi-N197&gt;ZileMort),"Fără mișcare","OK")))))</f>
        <v/>
      </c>
      <c r="P197" s="21" t="str">
        <f t="shared" ref="P197:P204" si="34">IF(B197="","",IF(F197&lt;I197,MAX(0,J197-MAX(0,F197)),0))</f>
        <v/>
      </c>
    </row>
    <row r="198" spans="2:16" x14ac:dyDescent="0.2">
      <c r="B198" s="11" t="str">
        <f>IF(Produse!B198="","",Produse!B198)</f>
        <v/>
      </c>
      <c r="C198" s="10" t="str">
        <f>IF(B198="","",Produse!C198)</f>
        <v/>
      </c>
      <c r="D198" s="10" t="str">
        <f>IF(B198="","",Produse!D198)</f>
        <v/>
      </c>
      <c r="E198" s="11" t="str">
        <f>IF(B198="","",Produse!E198)</f>
        <v/>
      </c>
      <c r="F198" s="17" t="str">
        <f>IF(B198="","",SUMIFS(Mișcări!$K$5:$K$2004,Mișcări!$D$5:$D$2004,B198,Mișcări!$B$5:$B$2004,"&lt;="&amp;Azi))</f>
        <v/>
      </c>
      <c r="G198" s="18" t="str">
        <f>IF(B198="","",IFERROR(SUMIFS(Mișcări!$L$5:$L$2004,Mișcări!$D$5:$D$2004,B198)/SUMIFS(Mișcări!$F$5:$F$2004,Mișcări!$D$5:$D$2004,B198,Mișcări!$J$5:$J$2004,1,Mișcări!$G$5:$G$2004,"&gt;0"),Produse!G198))</f>
        <v/>
      </c>
      <c r="H198" s="18" t="str">
        <f t="shared" si="30"/>
        <v/>
      </c>
      <c r="I198" s="21" t="str">
        <f>IF(B198="","",Produse!I198)</f>
        <v/>
      </c>
      <c r="J198" s="21" t="str">
        <f>IF(B198="","",Produse!J198)</f>
        <v/>
      </c>
      <c r="K198" s="21" t="str">
        <f>IF(B198="","",-SUMIFS(Mișcări!$K$5:$K$2004,Mișcări!$D$5:$D$2004,B198,Mișcări!$J$5:$J$2004,-1,Mișcări!$B$5:$B$2004,"&gt;"&amp;(Azi-ZileConsum),Mișcări!$B$5:$B$2004,"&lt;="&amp;Azi))</f>
        <v/>
      </c>
      <c r="L198" s="17" t="str">
        <f t="shared" si="31"/>
        <v/>
      </c>
      <c r="M198" s="11" t="str">
        <f t="shared" si="32"/>
        <v/>
      </c>
      <c r="N198" s="22" t="str">
        <f>IF(B198="","",IFERROR(_xlfn.AGGREGATE(14,6,Mișcări!$B$5:$B$2004/(Mișcări!$D$5:$D$2004=B198),1),""))</f>
        <v/>
      </c>
      <c r="O198" s="11" t="str">
        <f t="shared" si="33"/>
        <v/>
      </c>
      <c r="P198" s="21" t="str">
        <f t="shared" si="34"/>
        <v/>
      </c>
    </row>
    <row r="199" spans="2:16" x14ac:dyDescent="0.2">
      <c r="B199" s="11" t="str">
        <f>IF(Produse!B199="","",Produse!B199)</f>
        <v/>
      </c>
      <c r="C199" s="10" t="str">
        <f>IF(B199="","",Produse!C199)</f>
        <v/>
      </c>
      <c r="D199" s="10" t="str">
        <f>IF(B199="","",Produse!D199)</f>
        <v/>
      </c>
      <c r="E199" s="11" t="str">
        <f>IF(B199="","",Produse!E199)</f>
        <v/>
      </c>
      <c r="F199" s="17" t="str">
        <f>IF(B199="","",SUMIFS(Mișcări!$K$5:$K$2004,Mișcări!$D$5:$D$2004,B199,Mișcări!$B$5:$B$2004,"&lt;="&amp;Azi))</f>
        <v/>
      </c>
      <c r="G199" s="18" t="str">
        <f>IF(B199="","",IFERROR(SUMIFS(Mișcări!$L$5:$L$2004,Mișcări!$D$5:$D$2004,B199)/SUMIFS(Mișcări!$F$5:$F$2004,Mișcări!$D$5:$D$2004,B199,Mișcări!$J$5:$J$2004,1,Mișcări!$G$5:$G$2004,"&gt;0"),Produse!G199))</f>
        <v/>
      </c>
      <c r="H199" s="18" t="str">
        <f t="shared" si="30"/>
        <v/>
      </c>
      <c r="I199" s="21" t="str">
        <f>IF(B199="","",Produse!I199)</f>
        <v/>
      </c>
      <c r="J199" s="21" t="str">
        <f>IF(B199="","",Produse!J199)</f>
        <v/>
      </c>
      <c r="K199" s="21" t="str">
        <f>IF(B199="","",-SUMIFS(Mișcări!$K$5:$K$2004,Mișcări!$D$5:$D$2004,B199,Mișcări!$J$5:$J$2004,-1,Mișcări!$B$5:$B$2004,"&gt;"&amp;(Azi-ZileConsum),Mișcări!$B$5:$B$2004,"&lt;="&amp;Azi))</f>
        <v/>
      </c>
      <c r="L199" s="17" t="str">
        <f t="shared" si="31"/>
        <v/>
      </c>
      <c r="M199" s="11" t="str">
        <f t="shared" si="32"/>
        <v/>
      </c>
      <c r="N199" s="22" t="str">
        <f>IF(B199="","",IFERROR(_xlfn.AGGREGATE(14,6,Mișcări!$B$5:$B$2004/(Mișcări!$D$5:$D$2004=B199),1),""))</f>
        <v/>
      </c>
      <c r="O199" s="11" t="str">
        <f t="shared" si="33"/>
        <v/>
      </c>
      <c r="P199" s="21" t="str">
        <f t="shared" si="34"/>
        <v/>
      </c>
    </row>
    <row r="200" spans="2:16" x14ac:dyDescent="0.2">
      <c r="B200" s="11" t="str">
        <f>IF(Produse!B200="","",Produse!B200)</f>
        <v/>
      </c>
      <c r="C200" s="10" t="str">
        <f>IF(B200="","",Produse!C200)</f>
        <v/>
      </c>
      <c r="D200" s="10" t="str">
        <f>IF(B200="","",Produse!D200)</f>
        <v/>
      </c>
      <c r="E200" s="11" t="str">
        <f>IF(B200="","",Produse!E200)</f>
        <v/>
      </c>
      <c r="F200" s="17" t="str">
        <f>IF(B200="","",SUMIFS(Mișcări!$K$5:$K$2004,Mișcări!$D$5:$D$2004,B200,Mișcări!$B$5:$B$2004,"&lt;="&amp;Azi))</f>
        <v/>
      </c>
      <c r="G200" s="18" t="str">
        <f>IF(B200="","",IFERROR(SUMIFS(Mișcări!$L$5:$L$2004,Mișcări!$D$5:$D$2004,B200)/SUMIFS(Mișcări!$F$5:$F$2004,Mișcări!$D$5:$D$2004,B200,Mișcări!$J$5:$J$2004,1,Mișcări!$G$5:$G$2004,"&gt;0"),Produse!G200))</f>
        <v/>
      </c>
      <c r="H200" s="18" t="str">
        <f t="shared" si="30"/>
        <v/>
      </c>
      <c r="I200" s="21" t="str">
        <f>IF(B200="","",Produse!I200)</f>
        <v/>
      </c>
      <c r="J200" s="21" t="str">
        <f>IF(B200="","",Produse!J200)</f>
        <v/>
      </c>
      <c r="K200" s="21" t="str">
        <f>IF(B200="","",-SUMIFS(Mișcări!$K$5:$K$2004,Mișcări!$D$5:$D$2004,B200,Mișcări!$J$5:$J$2004,-1,Mișcări!$B$5:$B$2004,"&gt;"&amp;(Azi-ZileConsum),Mișcări!$B$5:$B$2004,"&lt;="&amp;Azi))</f>
        <v/>
      </c>
      <c r="L200" s="17" t="str">
        <f t="shared" si="31"/>
        <v/>
      </c>
      <c r="M200" s="11" t="str">
        <f t="shared" si="32"/>
        <v/>
      </c>
      <c r="N200" s="22" t="str">
        <f>IF(B200="","",IFERROR(_xlfn.AGGREGATE(14,6,Mișcări!$B$5:$B$2004/(Mișcări!$D$5:$D$2004=B200),1),""))</f>
        <v/>
      </c>
      <c r="O200" s="11" t="str">
        <f t="shared" si="33"/>
        <v/>
      </c>
      <c r="P200" s="21" t="str">
        <f t="shared" si="34"/>
        <v/>
      </c>
    </row>
    <row r="201" spans="2:16" x14ac:dyDescent="0.2">
      <c r="B201" s="11" t="str">
        <f>IF(Produse!B201="","",Produse!B201)</f>
        <v/>
      </c>
      <c r="C201" s="10" t="str">
        <f>IF(B201="","",Produse!C201)</f>
        <v/>
      </c>
      <c r="D201" s="10" t="str">
        <f>IF(B201="","",Produse!D201)</f>
        <v/>
      </c>
      <c r="E201" s="11" t="str">
        <f>IF(B201="","",Produse!E201)</f>
        <v/>
      </c>
      <c r="F201" s="17" t="str">
        <f>IF(B201="","",SUMIFS(Mișcări!$K$5:$K$2004,Mișcări!$D$5:$D$2004,B201,Mișcări!$B$5:$B$2004,"&lt;="&amp;Azi))</f>
        <v/>
      </c>
      <c r="G201" s="18" t="str">
        <f>IF(B201="","",IFERROR(SUMIFS(Mișcări!$L$5:$L$2004,Mișcări!$D$5:$D$2004,B201)/SUMIFS(Mișcări!$F$5:$F$2004,Mișcări!$D$5:$D$2004,B201,Mișcări!$J$5:$J$2004,1,Mișcări!$G$5:$G$2004,"&gt;0"),Produse!G201))</f>
        <v/>
      </c>
      <c r="H201" s="18" t="str">
        <f t="shared" si="30"/>
        <v/>
      </c>
      <c r="I201" s="21" t="str">
        <f>IF(B201="","",Produse!I201)</f>
        <v/>
      </c>
      <c r="J201" s="21" t="str">
        <f>IF(B201="","",Produse!J201)</f>
        <v/>
      </c>
      <c r="K201" s="21" t="str">
        <f>IF(B201="","",-SUMIFS(Mișcări!$K$5:$K$2004,Mișcări!$D$5:$D$2004,B201,Mișcări!$J$5:$J$2004,-1,Mișcări!$B$5:$B$2004,"&gt;"&amp;(Azi-ZileConsum),Mișcări!$B$5:$B$2004,"&lt;="&amp;Azi))</f>
        <v/>
      </c>
      <c r="L201" s="17" t="str">
        <f t="shared" si="31"/>
        <v/>
      </c>
      <c r="M201" s="11" t="str">
        <f t="shared" si="32"/>
        <v/>
      </c>
      <c r="N201" s="22" t="str">
        <f>IF(B201="","",IFERROR(_xlfn.AGGREGATE(14,6,Mișcări!$B$5:$B$2004/(Mișcări!$D$5:$D$2004=B201),1),""))</f>
        <v/>
      </c>
      <c r="O201" s="11" t="str">
        <f t="shared" si="33"/>
        <v/>
      </c>
      <c r="P201" s="21" t="str">
        <f t="shared" si="34"/>
        <v/>
      </c>
    </row>
    <row r="202" spans="2:16" x14ac:dyDescent="0.2">
      <c r="B202" s="11" t="str">
        <f>IF(Produse!B202="","",Produse!B202)</f>
        <v/>
      </c>
      <c r="C202" s="10" t="str">
        <f>IF(B202="","",Produse!C202)</f>
        <v/>
      </c>
      <c r="D202" s="10" t="str">
        <f>IF(B202="","",Produse!D202)</f>
        <v/>
      </c>
      <c r="E202" s="11" t="str">
        <f>IF(B202="","",Produse!E202)</f>
        <v/>
      </c>
      <c r="F202" s="17" t="str">
        <f>IF(B202="","",SUMIFS(Mișcări!$K$5:$K$2004,Mișcări!$D$5:$D$2004,B202,Mișcări!$B$5:$B$2004,"&lt;="&amp;Azi))</f>
        <v/>
      </c>
      <c r="G202" s="18" t="str">
        <f>IF(B202="","",IFERROR(SUMIFS(Mișcări!$L$5:$L$2004,Mișcări!$D$5:$D$2004,B202)/SUMIFS(Mișcări!$F$5:$F$2004,Mișcări!$D$5:$D$2004,B202,Mișcări!$J$5:$J$2004,1,Mișcări!$G$5:$G$2004,"&gt;0"),Produse!G202))</f>
        <v/>
      </c>
      <c r="H202" s="18" t="str">
        <f t="shared" si="30"/>
        <v/>
      </c>
      <c r="I202" s="21" t="str">
        <f>IF(B202="","",Produse!I202)</f>
        <v/>
      </c>
      <c r="J202" s="21" t="str">
        <f>IF(B202="","",Produse!J202)</f>
        <v/>
      </c>
      <c r="K202" s="21" t="str">
        <f>IF(B202="","",-SUMIFS(Mișcări!$K$5:$K$2004,Mișcări!$D$5:$D$2004,B202,Mișcări!$J$5:$J$2004,-1,Mișcări!$B$5:$B$2004,"&gt;"&amp;(Azi-ZileConsum),Mișcări!$B$5:$B$2004,"&lt;="&amp;Azi))</f>
        <v/>
      </c>
      <c r="L202" s="17" t="str">
        <f t="shared" si="31"/>
        <v/>
      </c>
      <c r="M202" s="11" t="str">
        <f t="shared" si="32"/>
        <v/>
      </c>
      <c r="N202" s="22" t="str">
        <f>IF(B202="","",IFERROR(_xlfn.AGGREGATE(14,6,Mișcări!$B$5:$B$2004/(Mișcări!$D$5:$D$2004=B202),1),""))</f>
        <v/>
      </c>
      <c r="O202" s="11" t="str">
        <f t="shared" si="33"/>
        <v/>
      </c>
      <c r="P202" s="21" t="str">
        <f t="shared" si="34"/>
        <v/>
      </c>
    </row>
    <row r="203" spans="2:16" x14ac:dyDescent="0.2">
      <c r="B203" s="11" t="str">
        <f>IF(Produse!B203="","",Produse!B203)</f>
        <v/>
      </c>
      <c r="C203" s="10" t="str">
        <f>IF(B203="","",Produse!C203)</f>
        <v/>
      </c>
      <c r="D203" s="10" t="str">
        <f>IF(B203="","",Produse!D203)</f>
        <v/>
      </c>
      <c r="E203" s="11" t="str">
        <f>IF(B203="","",Produse!E203)</f>
        <v/>
      </c>
      <c r="F203" s="17" t="str">
        <f>IF(B203="","",SUMIFS(Mișcări!$K$5:$K$2004,Mișcări!$D$5:$D$2004,B203,Mișcări!$B$5:$B$2004,"&lt;="&amp;Azi))</f>
        <v/>
      </c>
      <c r="G203" s="18" t="str">
        <f>IF(B203="","",IFERROR(SUMIFS(Mișcări!$L$5:$L$2004,Mișcări!$D$5:$D$2004,B203)/SUMIFS(Mișcări!$F$5:$F$2004,Mișcări!$D$5:$D$2004,B203,Mișcări!$J$5:$J$2004,1,Mișcări!$G$5:$G$2004,"&gt;0"),Produse!G203))</f>
        <v/>
      </c>
      <c r="H203" s="18" t="str">
        <f t="shared" si="30"/>
        <v/>
      </c>
      <c r="I203" s="21" t="str">
        <f>IF(B203="","",Produse!I203)</f>
        <v/>
      </c>
      <c r="J203" s="21" t="str">
        <f>IF(B203="","",Produse!J203)</f>
        <v/>
      </c>
      <c r="K203" s="21" t="str">
        <f>IF(B203="","",-SUMIFS(Mișcări!$K$5:$K$2004,Mișcări!$D$5:$D$2004,B203,Mișcări!$J$5:$J$2004,-1,Mișcări!$B$5:$B$2004,"&gt;"&amp;(Azi-ZileConsum),Mișcări!$B$5:$B$2004,"&lt;="&amp;Azi))</f>
        <v/>
      </c>
      <c r="L203" s="17" t="str">
        <f t="shared" si="31"/>
        <v/>
      </c>
      <c r="M203" s="11" t="str">
        <f t="shared" si="32"/>
        <v/>
      </c>
      <c r="N203" s="22" t="str">
        <f>IF(B203="","",IFERROR(_xlfn.AGGREGATE(14,6,Mișcări!$B$5:$B$2004/(Mișcări!$D$5:$D$2004=B203),1),""))</f>
        <v/>
      </c>
      <c r="O203" s="11" t="str">
        <f t="shared" si="33"/>
        <v/>
      </c>
      <c r="P203" s="21" t="str">
        <f t="shared" si="34"/>
        <v/>
      </c>
    </row>
    <row r="204" spans="2:16" x14ac:dyDescent="0.2">
      <c r="B204" s="11" t="str">
        <f>IF(Produse!B204="","",Produse!B204)</f>
        <v/>
      </c>
      <c r="C204" s="10" t="str">
        <f>IF(B204="","",Produse!C204)</f>
        <v/>
      </c>
      <c r="D204" s="10" t="str">
        <f>IF(B204="","",Produse!D204)</f>
        <v/>
      </c>
      <c r="E204" s="11" t="str">
        <f>IF(B204="","",Produse!E204)</f>
        <v/>
      </c>
      <c r="F204" s="17" t="str">
        <f>IF(B204="","",SUMIFS(Mișcări!$K$5:$K$2004,Mișcări!$D$5:$D$2004,B204,Mișcări!$B$5:$B$2004,"&lt;="&amp;Azi))</f>
        <v/>
      </c>
      <c r="G204" s="18" t="str">
        <f>IF(B204="","",IFERROR(SUMIFS(Mișcări!$L$5:$L$2004,Mișcări!$D$5:$D$2004,B204)/SUMIFS(Mișcări!$F$5:$F$2004,Mișcări!$D$5:$D$2004,B204,Mișcări!$J$5:$J$2004,1,Mișcări!$G$5:$G$2004,"&gt;0"),Produse!G204))</f>
        <v/>
      </c>
      <c r="H204" s="18" t="str">
        <f t="shared" si="30"/>
        <v/>
      </c>
      <c r="I204" s="21" t="str">
        <f>IF(B204="","",Produse!I204)</f>
        <v/>
      </c>
      <c r="J204" s="21" t="str">
        <f>IF(B204="","",Produse!J204)</f>
        <v/>
      </c>
      <c r="K204" s="21" t="str">
        <f>IF(B204="","",-SUMIFS(Mișcări!$K$5:$K$2004,Mișcări!$D$5:$D$2004,B204,Mișcări!$J$5:$J$2004,-1,Mișcări!$B$5:$B$2004,"&gt;"&amp;(Azi-ZileConsum),Mișcări!$B$5:$B$2004,"&lt;="&amp;Azi))</f>
        <v/>
      </c>
      <c r="L204" s="17" t="str">
        <f t="shared" si="31"/>
        <v/>
      </c>
      <c r="M204" s="11" t="str">
        <f t="shared" si="32"/>
        <v/>
      </c>
      <c r="N204" s="22" t="str">
        <f>IF(B204="","",IFERROR(_xlfn.AGGREGATE(14,6,Mișcări!$B$5:$B$2004/(Mișcări!$D$5:$D$2004=B204),1),""))</f>
        <v/>
      </c>
      <c r="O204" s="11" t="str">
        <f t="shared" si="33"/>
        <v/>
      </c>
      <c r="P204" s="21" t="str">
        <f t="shared" si="34"/>
        <v/>
      </c>
    </row>
  </sheetData>
  <conditionalFormatting sqref="H5:H204">
    <cfRule type="dataBar" priority="7">
      <dataBar>
        <cfvo type="min"/>
        <cfvo type="max"/>
        <color rgb="FF558B2F"/>
      </dataBar>
      <extLst>
        <ext xmlns:x14="http://schemas.microsoft.com/office/spreadsheetml/2009/9/main" uri="{B025F937-C7B1-47D3-B67F-A62EFF666E3E}">
          <x14:id>{2635AF8F-1554-40F9-BF0C-5F2206425090}</x14:id>
        </ext>
      </extLst>
    </cfRule>
  </conditionalFormatting>
  <conditionalFormatting sqref="O5:O204">
    <cfRule type="cellIs" dxfId="9" priority="1" stopIfTrue="1" operator="equal">
      <formula>"Ruptură de stoc"</formula>
    </cfRule>
    <cfRule type="cellIs" dxfId="8" priority="2" stopIfTrue="1" operator="equal">
      <formula>"Sub stoc minim"</formula>
    </cfRule>
    <cfRule type="cellIs" dxfId="7" priority="3" stopIfTrue="1" operator="equal">
      <formula>"Exces de stoc"</formula>
    </cfRule>
    <cfRule type="cellIs" dxfId="6" priority="4" stopIfTrue="1" operator="equal">
      <formula>"Fără mișcare"</formula>
    </cfRule>
    <cfRule type="cellIs" dxfId="5" priority="5" stopIfTrue="1" operator="equal">
      <formula>"OK"</formula>
    </cfRule>
  </conditionalFormatting>
  <conditionalFormatting sqref="P5:P204">
    <cfRule type="cellIs" dxfId="4" priority="6" stopIfTrue="1" operator="greaterThan">
      <formula>0</formula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635AF8F-1554-40F9-BF0C-5F2206425090}">
            <x14:dataBar minLength="0" maxLength="100" negativeBarColorSameAsPositive="1" axisPosition="none">
              <x14:cfvo type="min"/>
              <x14:cfvo type="max"/>
            </x14:dataBar>
          </x14:cfRule>
          <xm:sqref>H5:H204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537A2-9CAC-4F4C-90F7-BCDC3B27A692}">
  <dimension ref="B1:N20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2.7109375" style="1" customWidth="1"/>
    <col min="2" max="2" width="11.7109375" style="1" customWidth="1"/>
    <col min="3" max="3" width="22.7109375" style="1" customWidth="1"/>
    <col min="4" max="4" width="7.7109375" style="1" customWidth="1"/>
    <col min="5" max="5" width="32.7109375" style="1" customWidth="1"/>
    <col min="6" max="6" width="9.7109375" style="1" customWidth="1"/>
    <col min="7" max="7" width="11.7109375" style="1" customWidth="1"/>
    <col min="8" max="8" width="18.7109375" style="1" customWidth="1"/>
    <col min="9" max="9" width="22.7109375" style="1" customWidth="1"/>
    <col min="10" max="10" width="6.7109375" style="1" customWidth="1"/>
    <col min="11" max="11" width="10.7109375" style="1" customWidth="1"/>
    <col min="12" max="12" width="11.7109375" style="1" customWidth="1"/>
    <col min="13" max="13" width="12.7109375" style="1" customWidth="1"/>
    <col min="14" max="14" width="28.7109375" style="1" customWidth="1"/>
    <col min="15" max="16384" width="11.42578125" style="1"/>
  </cols>
  <sheetData>
    <row r="1" spans="2:14" ht="21" x14ac:dyDescent="0.35">
      <c r="B1" s="2" t="s">
        <v>80</v>
      </c>
    </row>
    <row r="2" spans="2:14" x14ac:dyDescent="0.2">
      <c r="B2" s="3" t="s">
        <v>81</v>
      </c>
    </row>
    <row r="4" spans="2:14" ht="30" customHeight="1" x14ac:dyDescent="0.2">
      <c r="B4" s="9" t="s">
        <v>82</v>
      </c>
      <c r="C4" s="9" t="s">
        <v>9</v>
      </c>
      <c r="D4" s="9" t="s">
        <v>28</v>
      </c>
      <c r="E4" s="9" t="s">
        <v>29</v>
      </c>
      <c r="F4" s="9" t="s">
        <v>83</v>
      </c>
      <c r="G4" s="9" t="s">
        <v>84</v>
      </c>
      <c r="H4" s="9" t="s">
        <v>85</v>
      </c>
      <c r="I4" s="9" t="s">
        <v>86</v>
      </c>
      <c r="J4" s="9" t="s">
        <v>10</v>
      </c>
      <c r="K4" s="9" t="s">
        <v>87</v>
      </c>
      <c r="L4" s="9" t="s">
        <v>88</v>
      </c>
      <c r="M4" s="9" t="s">
        <v>89</v>
      </c>
      <c r="N4" s="9" t="s">
        <v>90</v>
      </c>
    </row>
    <row r="5" spans="2:14" x14ac:dyDescent="0.2">
      <c r="B5" s="15">
        <f t="shared" ref="B5:B16" si="0">DATE(2026,7,1)</f>
        <v>46204</v>
      </c>
      <c r="C5" s="6" t="s">
        <v>11</v>
      </c>
      <c r="D5" s="12" t="s">
        <v>39</v>
      </c>
      <c r="E5" s="10" t="str">
        <f t="shared" ref="E5:E68" si="1">IF(D5="","",IFERROR(VLOOKUP(D5,Catalog,2,FALSE),""))</f>
        <v>Cablu CYY-F 3x2,5</v>
      </c>
      <c r="F5" s="16">
        <v>800</v>
      </c>
      <c r="G5" s="13">
        <v>3.5</v>
      </c>
      <c r="H5" s="6"/>
      <c r="I5" s="6"/>
      <c r="J5" s="11">
        <f t="shared" ref="J5:J68" si="2">IF(C5="","",IFERROR(VLOOKUP(C5,TipSemn,2,FALSE),""))</f>
        <v>1</v>
      </c>
      <c r="K5" s="17">
        <f t="shared" ref="K5:K68" si="3">IF(OR(J5="",F5=""),"",J5*F5)</f>
        <v>800</v>
      </c>
      <c r="L5" s="18">
        <f t="shared" ref="L5:L68" si="4">IF(OR(J5&lt;&gt;1,G5=""),"",ROUND(F5*G5,2))</f>
        <v>2800</v>
      </c>
      <c r="M5" s="18" t="str">
        <f>IF(J5&lt;&gt;-1,"",ROUND(F5*IFERROR(INDEX(Stocuri!$G$5:$G$204,MATCH(D5,Coduri,0)),0),2))</f>
        <v/>
      </c>
      <c r="N5" s="19" t="str">
        <f t="shared" ref="N5:N68" si="5">IF(AND(B5="",D5=""),"",TRIM(IF(OR(B5="",C5="",D5="",F5=""),"Date incomplete. ","")&amp;IF(AND(D5&lt;&gt;"",E5=""),"Cod necunoscut. ","")&amp;IF(AND(J5=1,C5&lt;&gt;"Retur de la client",C5&lt;&gt;"Ajustare inventar +",G5=""),"Lipsește prețul de intrare. ","")&amp;IF(AND(J5=-1,D5&lt;&gt;"",SUMIFS($K$5:$K$2004,$D$5:$D$2004,D5,$B$5:$B$2004,"&lt;="&amp;B5)&lt;0),"Stoc insuficient la această dată. ","")&amp;IF(AND(C5&lt;&gt;"Stoc inițial",H5=""),"Lipsește documentul. ","")))</f>
        <v/>
      </c>
    </row>
    <row r="6" spans="2:14" x14ac:dyDescent="0.2">
      <c r="B6" s="15">
        <f t="shared" si="0"/>
        <v>46204</v>
      </c>
      <c r="C6" s="6" t="s">
        <v>11</v>
      </c>
      <c r="D6" s="12" t="s">
        <v>44</v>
      </c>
      <c r="E6" s="10" t="str">
        <f t="shared" si="1"/>
        <v>Tub flexibil PVC 20 mm</v>
      </c>
      <c r="F6" s="16">
        <v>500</v>
      </c>
      <c r="G6" s="13">
        <v>1.1499999999999999</v>
      </c>
      <c r="H6" s="6"/>
      <c r="I6" s="6"/>
      <c r="J6" s="11">
        <f t="shared" si="2"/>
        <v>1</v>
      </c>
      <c r="K6" s="17">
        <f t="shared" si="3"/>
        <v>500</v>
      </c>
      <c r="L6" s="18">
        <f t="shared" si="4"/>
        <v>575</v>
      </c>
      <c r="M6" s="18" t="str">
        <f>IF(J6&lt;&gt;-1,"",ROUND(F6*IFERROR(INDEX(Stocuri!$G$5:$G$204,MATCH(D6,Coduri,0)),0),2))</f>
        <v/>
      </c>
      <c r="N6" s="19" t="str">
        <f t="shared" si="5"/>
        <v/>
      </c>
    </row>
    <row r="7" spans="2:14" x14ac:dyDescent="0.2">
      <c r="B7" s="15">
        <f t="shared" si="0"/>
        <v>46204</v>
      </c>
      <c r="C7" s="6" t="s">
        <v>11</v>
      </c>
      <c r="D7" s="12" t="s">
        <v>47</v>
      </c>
      <c r="E7" s="10" t="str">
        <f t="shared" si="1"/>
        <v>Doză aparat îngropată</v>
      </c>
      <c r="F7" s="16">
        <v>600</v>
      </c>
      <c r="G7" s="13">
        <v>0.68</v>
      </c>
      <c r="H7" s="6"/>
      <c r="I7" s="6"/>
      <c r="J7" s="11">
        <f t="shared" si="2"/>
        <v>1</v>
      </c>
      <c r="K7" s="17">
        <f t="shared" si="3"/>
        <v>600</v>
      </c>
      <c r="L7" s="18">
        <f t="shared" si="4"/>
        <v>408</v>
      </c>
      <c r="M7" s="18" t="str">
        <f>IF(J7&lt;&gt;-1,"",ROUND(F7*IFERROR(INDEX(Stocuri!$G$5:$G$204,MATCH(D7,Coduri,0)),0),2))</f>
        <v/>
      </c>
      <c r="N7" s="19" t="str">
        <f t="shared" si="5"/>
        <v/>
      </c>
    </row>
    <row r="8" spans="2:14" x14ac:dyDescent="0.2">
      <c r="B8" s="15">
        <f t="shared" si="0"/>
        <v>46204</v>
      </c>
      <c r="C8" s="6" t="s">
        <v>11</v>
      </c>
      <c r="D8" s="12" t="s">
        <v>51</v>
      </c>
      <c r="E8" s="10" t="str">
        <f t="shared" si="1"/>
        <v>Întrerupător simplu Schneider Sedna</v>
      </c>
      <c r="F8" s="16">
        <v>120</v>
      </c>
      <c r="G8" s="13">
        <v>9.6</v>
      </c>
      <c r="H8" s="6"/>
      <c r="I8" s="6"/>
      <c r="J8" s="11">
        <f t="shared" si="2"/>
        <v>1</v>
      </c>
      <c r="K8" s="17">
        <f t="shared" si="3"/>
        <v>120</v>
      </c>
      <c r="L8" s="18">
        <f t="shared" si="4"/>
        <v>1152</v>
      </c>
      <c r="M8" s="18" t="str">
        <f>IF(J8&lt;&gt;-1,"",ROUND(F8*IFERROR(INDEX(Stocuri!$G$5:$G$204,MATCH(D8,Coduri,0)),0),2))</f>
        <v/>
      </c>
      <c r="N8" s="19" t="str">
        <f t="shared" si="5"/>
        <v/>
      </c>
    </row>
    <row r="9" spans="2:14" x14ac:dyDescent="0.2">
      <c r="B9" s="15">
        <f t="shared" si="0"/>
        <v>46204</v>
      </c>
      <c r="C9" s="6" t="s">
        <v>11</v>
      </c>
      <c r="D9" s="12" t="s">
        <v>55</v>
      </c>
      <c r="E9" s="10" t="str">
        <f t="shared" si="1"/>
        <v>Priză dublă cu împământare</v>
      </c>
      <c r="F9" s="16">
        <v>100</v>
      </c>
      <c r="G9" s="13">
        <v>12.7</v>
      </c>
      <c r="H9" s="6"/>
      <c r="I9" s="6"/>
      <c r="J9" s="11">
        <f t="shared" si="2"/>
        <v>1</v>
      </c>
      <c r="K9" s="17">
        <f t="shared" si="3"/>
        <v>100</v>
      </c>
      <c r="L9" s="18">
        <f t="shared" si="4"/>
        <v>1270</v>
      </c>
      <c r="M9" s="18" t="str">
        <f>IF(J9&lt;&gt;-1,"",ROUND(F9*IFERROR(INDEX(Stocuri!$G$5:$G$204,MATCH(D9,Coduri,0)),0),2))</f>
        <v/>
      </c>
      <c r="N9" s="19" t="str">
        <f t="shared" si="5"/>
        <v/>
      </c>
    </row>
    <row r="10" spans="2:14" x14ac:dyDescent="0.2">
      <c r="B10" s="15">
        <f t="shared" si="0"/>
        <v>46204</v>
      </c>
      <c r="C10" s="6" t="s">
        <v>11</v>
      </c>
      <c r="D10" s="12" t="s">
        <v>58</v>
      </c>
      <c r="E10" s="10" t="str">
        <f t="shared" si="1"/>
        <v>Tablou electric 12 module</v>
      </c>
      <c r="F10" s="16">
        <v>20</v>
      </c>
      <c r="G10" s="13">
        <v>96</v>
      </c>
      <c r="H10" s="6"/>
      <c r="I10" s="6"/>
      <c r="J10" s="11">
        <f t="shared" si="2"/>
        <v>1</v>
      </c>
      <c r="K10" s="17">
        <f t="shared" si="3"/>
        <v>20</v>
      </c>
      <c r="L10" s="18">
        <f t="shared" si="4"/>
        <v>1920</v>
      </c>
      <c r="M10" s="18" t="str">
        <f>IF(J10&lt;&gt;-1,"",ROUND(F10*IFERROR(INDEX(Stocuri!$G$5:$G$204,MATCH(D10,Coduri,0)),0),2))</f>
        <v/>
      </c>
      <c r="N10" s="19" t="str">
        <f t="shared" si="5"/>
        <v/>
      </c>
    </row>
    <row r="11" spans="2:14" x14ac:dyDescent="0.2">
      <c r="B11" s="15">
        <f t="shared" si="0"/>
        <v>46204</v>
      </c>
      <c r="C11" s="6" t="s">
        <v>11</v>
      </c>
      <c r="D11" s="12" t="s">
        <v>61</v>
      </c>
      <c r="E11" s="10" t="str">
        <f t="shared" si="1"/>
        <v>Siguranță automată 16A</v>
      </c>
      <c r="F11" s="16">
        <v>200</v>
      </c>
      <c r="G11" s="13">
        <v>15</v>
      </c>
      <c r="H11" s="6"/>
      <c r="I11" s="6"/>
      <c r="J11" s="11">
        <f t="shared" si="2"/>
        <v>1</v>
      </c>
      <c r="K11" s="17">
        <f t="shared" si="3"/>
        <v>200</v>
      </c>
      <c r="L11" s="18">
        <f t="shared" si="4"/>
        <v>3000</v>
      </c>
      <c r="M11" s="18" t="str">
        <f>IF(J11&lt;&gt;-1,"",ROUND(F11*IFERROR(INDEX(Stocuri!$G$5:$G$204,MATCH(D11,Coduri,0)),0),2))</f>
        <v/>
      </c>
      <c r="N11" s="19" t="str">
        <f t="shared" si="5"/>
        <v/>
      </c>
    </row>
    <row r="12" spans="2:14" x14ac:dyDescent="0.2">
      <c r="B12" s="15">
        <f t="shared" si="0"/>
        <v>46204</v>
      </c>
      <c r="C12" s="6" t="s">
        <v>11</v>
      </c>
      <c r="D12" s="12" t="s">
        <v>64</v>
      </c>
      <c r="E12" s="10" t="str">
        <f t="shared" si="1"/>
        <v>Corp iluminat LED 36W</v>
      </c>
      <c r="F12" s="16">
        <v>60</v>
      </c>
      <c r="G12" s="13">
        <v>61</v>
      </c>
      <c r="H12" s="6"/>
      <c r="I12" s="6"/>
      <c r="J12" s="11">
        <f t="shared" si="2"/>
        <v>1</v>
      </c>
      <c r="K12" s="17">
        <f t="shared" si="3"/>
        <v>60</v>
      </c>
      <c r="L12" s="18">
        <f t="shared" si="4"/>
        <v>3660</v>
      </c>
      <c r="M12" s="18" t="str">
        <f>IF(J12&lt;&gt;-1,"",ROUND(F12*IFERROR(INDEX(Stocuri!$G$5:$G$204,MATCH(D12,Coduri,0)),0),2))</f>
        <v/>
      </c>
      <c r="N12" s="19" t="str">
        <f t="shared" si="5"/>
        <v/>
      </c>
    </row>
    <row r="13" spans="2:14" x14ac:dyDescent="0.2">
      <c r="B13" s="15">
        <f t="shared" si="0"/>
        <v>46204</v>
      </c>
      <c r="C13" s="6" t="s">
        <v>11</v>
      </c>
      <c r="D13" s="12" t="s">
        <v>68</v>
      </c>
      <c r="E13" s="10" t="str">
        <f t="shared" si="1"/>
        <v>Bec LED E27 9W</v>
      </c>
      <c r="F13" s="16">
        <v>300</v>
      </c>
      <c r="G13" s="13">
        <v>6.4</v>
      </c>
      <c r="H13" s="6"/>
      <c r="I13" s="6"/>
      <c r="J13" s="11">
        <f t="shared" si="2"/>
        <v>1</v>
      </c>
      <c r="K13" s="17">
        <f t="shared" si="3"/>
        <v>300</v>
      </c>
      <c r="L13" s="18">
        <f t="shared" si="4"/>
        <v>1920</v>
      </c>
      <c r="M13" s="18" t="str">
        <f>IF(J13&lt;&gt;-1,"",ROUND(F13*IFERROR(INDEX(Stocuri!$G$5:$G$204,MATCH(D13,Coduri,0)),0),2))</f>
        <v/>
      </c>
      <c r="N13" s="19" t="str">
        <f t="shared" si="5"/>
        <v/>
      </c>
    </row>
    <row r="14" spans="2:14" x14ac:dyDescent="0.2">
      <c r="B14" s="15">
        <f t="shared" si="0"/>
        <v>46204</v>
      </c>
      <c r="C14" s="6" t="s">
        <v>11</v>
      </c>
      <c r="D14" s="12" t="s">
        <v>71</v>
      </c>
      <c r="E14" s="10" t="str">
        <f t="shared" si="1"/>
        <v>Prelungitor 5 prize cu întrerupător</v>
      </c>
      <c r="F14" s="16">
        <v>25</v>
      </c>
      <c r="G14" s="13">
        <v>28</v>
      </c>
      <c r="H14" s="6"/>
      <c r="I14" s="6"/>
      <c r="J14" s="11">
        <f t="shared" si="2"/>
        <v>1</v>
      </c>
      <c r="K14" s="17">
        <f t="shared" si="3"/>
        <v>25</v>
      </c>
      <c r="L14" s="18">
        <f t="shared" si="4"/>
        <v>700</v>
      </c>
      <c r="M14" s="18" t="str">
        <f>IF(J14&lt;&gt;-1,"",ROUND(F14*IFERROR(INDEX(Stocuri!$G$5:$G$204,MATCH(D14,Coduri,0)),0),2))</f>
        <v/>
      </c>
      <c r="N14" s="19" t="str">
        <f t="shared" si="5"/>
        <v/>
      </c>
    </row>
    <row r="15" spans="2:14" x14ac:dyDescent="0.2">
      <c r="B15" s="15">
        <f t="shared" si="0"/>
        <v>46204</v>
      </c>
      <c r="C15" s="6" t="s">
        <v>11</v>
      </c>
      <c r="D15" s="12" t="s">
        <v>74</v>
      </c>
      <c r="E15" s="10" t="str">
        <f t="shared" si="1"/>
        <v>Bandă izolatoare 19 mm</v>
      </c>
      <c r="F15" s="16">
        <v>150</v>
      </c>
      <c r="G15" s="13">
        <v>2.1</v>
      </c>
      <c r="H15" s="6"/>
      <c r="I15" s="6"/>
      <c r="J15" s="11">
        <f t="shared" si="2"/>
        <v>1</v>
      </c>
      <c r="K15" s="17">
        <f t="shared" si="3"/>
        <v>150</v>
      </c>
      <c r="L15" s="18">
        <f t="shared" si="4"/>
        <v>315</v>
      </c>
      <c r="M15" s="18" t="str">
        <f>IF(J15&lt;&gt;-1,"",ROUND(F15*IFERROR(INDEX(Stocuri!$G$5:$G$204,MATCH(D15,Coduri,0)),0),2))</f>
        <v/>
      </c>
      <c r="N15" s="19" t="str">
        <f t="shared" si="5"/>
        <v/>
      </c>
    </row>
    <row r="16" spans="2:14" x14ac:dyDescent="0.2">
      <c r="B16" s="15">
        <f t="shared" si="0"/>
        <v>46204</v>
      </c>
      <c r="C16" s="6" t="s">
        <v>11</v>
      </c>
      <c r="D16" s="12" t="s">
        <v>77</v>
      </c>
      <c r="E16" s="10" t="str">
        <f t="shared" si="1"/>
        <v>Cablu MYF 1,5 mm</v>
      </c>
      <c r="F16" s="16">
        <v>400</v>
      </c>
      <c r="G16" s="13">
        <v>1.05</v>
      </c>
      <c r="H16" s="6"/>
      <c r="I16" s="6"/>
      <c r="J16" s="11">
        <f t="shared" si="2"/>
        <v>1</v>
      </c>
      <c r="K16" s="17">
        <f t="shared" si="3"/>
        <v>400</v>
      </c>
      <c r="L16" s="18">
        <f t="shared" si="4"/>
        <v>420</v>
      </c>
      <c r="M16" s="18" t="str">
        <f>IF(J16&lt;&gt;-1,"",ROUND(F16*IFERROR(INDEX(Stocuri!$G$5:$G$204,MATCH(D16,Coduri,0)),0),2))</f>
        <v/>
      </c>
      <c r="N16" s="19" t="str">
        <f t="shared" si="5"/>
        <v/>
      </c>
    </row>
    <row r="17" spans="2:14" x14ac:dyDescent="0.2">
      <c r="B17" s="15">
        <f>DATE(2026,7,6)</f>
        <v>46209</v>
      </c>
      <c r="C17" s="6" t="s">
        <v>15</v>
      </c>
      <c r="D17" s="12" t="s">
        <v>51</v>
      </c>
      <c r="E17" s="10" t="str">
        <f t="shared" si="1"/>
        <v>Întrerupător simplu Schneider Sedna</v>
      </c>
      <c r="F17" s="16">
        <v>9</v>
      </c>
      <c r="G17" s="13"/>
      <c r="H17" s="6" t="s">
        <v>91</v>
      </c>
      <c r="I17" s="6" t="s">
        <v>92</v>
      </c>
      <c r="J17" s="11">
        <f t="shared" si="2"/>
        <v>-1</v>
      </c>
      <c r="K17" s="17">
        <f t="shared" si="3"/>
        <v>-9</v>
      </c>
      <c r="L17" s="18" t="str">
        <f t="shared" si="4"/>
        <v/>
      </c>
      <c r="M17" s="18">
        <f>IF(J17&lt;&gt;-1,"",ROUND(F17*IFERROR(INDEX(Stocuri!$G$5:$G$204,MATCH(D17,Coduri,0)),0),2))</f>
        <v>87.12</v>
      </c>
      <c r="N17" s="19" t="str">
        <f t="shared" si="5"/>
        <v/>
      </c>
    </row>
    <row r="18" spans="2:14" x14ac:dyDescent="0.2">
      <c r="B18" s="15">
        <f>DATE(2026,7,6)</f>
        <v>46209</v>
      </c>
      <c r="C18" s="6" t="s">
        <v>15</v>
      </c>
      <c r="D18" s="12" t="s">
        <v>64</v>
      </c>
      <c r="E18" s="10" t="str">
        <f t="shared" si="1"/>
        <v>Corp iluminat LED 36W</v>
      </c>
      <c r="F18" s="16">
        <v>6</v>
      </c>
      <c r="G18" s="13"/>
      <c r="H18" s="6" t="s">
        <v>93</v>
      </c>
      <c r="I18" s="6" t="s">
        <v>94</v>
      </c>
      <c r="J18" s="11">
        <f t="shared" si="2"/>
        <v>-1</v>
      </c>
      <c r="K18" s="17">
        <f t="shared" si="3"/>
        <v>-6</v>
      </c>
      <c r="L18" s="18" t="str">
        <f t="shared" si="4"/>
        <v/>
      </c>
      <c r="M18" s="18">
        <f>IF(J18&lt;&gt;-1,"",ROUND(F18*IFERROR(INDEX(Stocuri!$G$5:$G$204,MATCH(D18,Coduri,0)),0),2))</f>
        <v>368.4</v>
      </c>
      <c r="N18" s="19" t="str">
        <f t="shared" si="5"/>
        <v/>
      </c>
    </row>
    <row r="19" spans="2:14" x14ac:dyDescent="0.2">
      <c r="B19" s="15">
        <f>DATE(2026,7,6)</f>
        <v>46209</v>
      </c>
      <c r="C19" s="6" t="s">
        <v>15</v>
      </c>
      <c r="D19" s="12" t="s">
        <v>77</v>
      </c>
      <c r="E19" s="10" t="str">
        <f t="shared" si="1"/>
        <v>Cablu MYF 1,5 mm</v>
      </c>
      <c r="F19" s="16">
        <v>50</v>
      </c>
      <c r="G19" s="13"/>
      <c r="H19" s="6" t="s">
        <v>95</v>
      </c>
      <c r="I19" s="6" t="s">
        <v>96</v>
      </c>
      <c r="J19" s="11">
        <f t="shared" si="2"/>
        <v>-1</v>
      </c>
      <c r="K19" s="17">
        <f t="shared" si="3"/>
        <v>-50</v>
      </c>
      <c r="L19" s="18" t="str">
        <f t="shared" si="4"/>
        <v/>
      </c>
      <c r="M19" s="18">
        <f>IF(J19&lt;&gt;-1,"",ROUND(F19*IFERROR(INDEX(Stocuri!$G$5:$G$204,MATCH(D19,Coduri,0)),0),2))</f>
        <v>53.57</v>
      </c>
      <c r="N19" s="19" t="str">
        <f t="shared" si="5"/>
        <v/>
      </c>
    </row>
    <row r="20" spans="2:14" x14ac:dyDescent="0.2">
      <c r="B20" s="15">
        <f>DATE(2026,7,7)</f>
        <v>46210</v>
      </c>
      <c r="C20" s="6" t="s">
        <v>15</v>
      </c>
      <c r="D20" s="12" t="s">
        <v>39</v>
      </c>
      <c r="E20" s="10" t="str">
        <f t="shared" si="1"/>
        <v>Cablu CYY-F 3x2,5</v>
      </c>
      <c r="F20" s="16">
        <v>110</v>
      </c>
      <c r="G20" s="13"/>
      <c r="H20" s="6" t="s">
        <v>97</v>
      </c>
      <c r="I20" s="6" t="s">
        <v>98</v>
      </c>
      <c r="J20" s="11">
        <f t="shared" si="2"/>
        <v>-1</v>
      </c>
      <c r="K20" s="17">
        <f t="shared" si="3"/>
        <v>-110</v>
      </c>
      <c r="L20" s="18" t="str">
        <f t="shared" si="4"/>
        <v/>
      </c>
      <c r="M20" s="18">
        <f>IF(J20&lt;&gt;-1,"",ROUND(F20*IFERROR(INDEX(Stocuri!$G$5:$G$204,MATCH(D20,Coduri,0)),0),2))</f>
        <v>394.9</v>
      </c>
      <c r="N20" s="19" t="str">
        <f t="shared" si="5"/>
        <v/>
      </c>
    </row>
    <row r="21" spans="2:14" x14ac:dyDescent="0.2">
      <c r="B21" s="15">
        <f>DATE(2026,7,7)</f>
        <v>46210</v>
      </c>
      <c r="C21" s="6" t="s">
        <v>15</v>
      </c>
      <c r="D21" s="12" t="s">
        <v>55</v>
      </c>
      <c r="E21" s="10" t="str">
        <f t="shared" si="1"/>
        <v>Priză dublă cu împământare</v>
      </c>
      <c r="F21" s="16">
        <v>5</v>
      </c>
      <c r="G21" s="13"/>
      <c r="H21" s="6" t="s">
        <v>99</v>
      </c>
      <c r="I21" s="6" t="s">
        <v>100</v>
      </c>
      <c r="J21" s="11">
        <f t="shared" si="2"/>
        <v>-1</v>
      </c>
      <c r="K21" s="17">
        <f t="shared" si="3"/>
        <v>-5</v>
      </c>
      <c r="L21" s="18" t="str">
        <f t="shared" si="4"/>
        <v/>
      </c>
      <c r="M21" s="18">
        <f>IF(J21&lt;&gt;-1,"",ROUND(F21*IFERROR(INDEX(Stocuri!$G$5:$G$204,MATCH(D21,Coduri,0)),0),2))</f>
        <v>63.5</v>
      </c>
      <c r="N21" s="19" t="str">
        <f t="shared" si="5"/>
        <v/>
      </c>
    </row>
    <row r="22" spans="2:14" x14ac:dyDescent="0.2">
      <c r="B22" s="15">
        <f>DATE(2026,7,7)</f>
        <v>46210</v>
      </c>
      <c r="C22" s="6" t="s">
        <v>15</v>
      </c>
      <c r="D22" s="12" t="s">
        <v>68</v>
      </c>
      <c r="E22" s="10" t="str">
        <f t="shared" si="1"/>
        <v>Bec LED E27 9W</v>
      </c>
      <c r="F22" s="16">
        <v>10</v>
      </c>
      <c r="G22" s="13"/>
      <c r="H22" s="6" t="s">
        <v>101</v>
      </c>
      <c r="I22" s="6" t="s">
        <v>92</v>
      </c>
      <c r="J22" s="11">
        <f t="shared" si="2"/>
        <v>-1</v>
      </c>
      <c r="K22" s="17">
        <f t="shared" si="3"/>
        <v>-10</v>
      </c>
      <c r="L22" s="18" t="str">
        <f t="shared" si="4"/>
        <v/>
      </c>
      <c r="M22" s="18">
        <f>IF(J22&lt;&gt;-1,"",ROUND(F22*IFERROR(INDEX(Stocuri!$G$5:$G$204,MATCH(D22,Coduri,0)),0),2))</f>
        <v>64.569999999999993</v>
      </c>
      <c r="N22" s="19" t="str">
        <f t="shared" si="5"/>
        <v/>
      </c>
    </row>
    <row r="23" spans="2:14" x14ac:dyDescent="0.2">
      <c r="B23" s="15">
        <f>DATE(2026,7,8)</f>
        <v>46211</v>
      </c>
      <c r="C23" s="6" t="s">
        <v>15</v>
      </c>
      <c r="D23" s="12" t="s">
        <v>44</v>
      </c>
      <c r="E23" s="10" t="str">
        <f t="shared" si="1"/>
        <v>Tub flexibil PVC 20 mm</v>
      </c>
      <c r="F23" s="16">
        <v>50</v>
      </c>
      <c r="G23" s="13"/>
      <c r="H23" s="6" t="s">
        <v>102</v>
      </c>
      <c r="I23" s="6" t="s">
        <v>96</v>
      </c>
      <c r="J23" s="11">
        <f t="shared" si="2"/>
        <v>-1</v>
      </c>
      <c r="K23" s="17">
        <f t="shared" si="3"/>
        <v>-50</v>
      </c>
      <c r="L23" s="18" t="str">
        <f t="shared" si="4"/>
        <v/>
      </c>
      <c r="M23" s="18">
        <f>IF(J23&lt;&gt;-1,"",ROUND(F23*IFERROR(INDEX(Stocuri!$G$5:$G$204,MATCH(D23,Coduri,0)),0),2))</f>
        <v>58.44</v>
      </c>
      <c r="N23" s="19" t="str">
        <f t="shared" si="5"/>
        <v/>
      </c>
    </row>
    <row r="24" spans="2:14" x14ac:dyDescent="0.2">
      <c r="B24" s="15">
        <f>DATE(2026,7,8)</f>
        <v>46211</v>
      </c>
      <c r="C24" s="6" t="s">
        <v>15</v>
      </c>
      <c r="D24" s="12" t="s">
        <v>58</v>
      </c>
      <c r="E24" s="10" t="str">
        <f t="shared" si="1"/>
        <v>Tablou electric 12 module</v>
      </c>
      <c r="F24" s="16">
        <v>1</v>
      </c>
      <c r="G24" s="13"/>
      <c r="H24" s="6" t="s">
        <v>103</v>
      </c>
      <c r="I24" s="6" t="s">
        <v>98</v>
      </c>
      <c r="J24" s="11">
        <f t="shared" si="2"/>
        <v>-1</v>
      </c>
      <c r="K24" s="17">
        <f t="shared" si="3"/>
        <v>-1</v>
      </c>
      <c r="L24" s="18" t="str">
        <f t="shared" si="4"/>
        <v/>
      </c>
      <c r="M24" s="18">
        <f>IF(J24&lt;&gt;-1,"",ROUND(F24*IFERROR(INDEX(Stocuri!$G$5:$G$204,MATCH(D24,Coduri,0)),0),2))</f>
        <v>96.67</v>
      </c>
      <c r="N24" s="19" t="str">
        <f t="shared" si="5"/>
        <v/>
      </c>
    </row>
    <row r="25" spans="2:14" x14ac:dyDescent="0.2">
      <c r="B25" s="15">
        <f>DATE(2026,7,9)</f>
        <v>46212</v>
      </c>
      <c r="C25" s="6" t="s">
        <v>15</v>
      </c>
      <c r="D25" s="12" t="s">
        <v>47</v>
      </c>
      <c r="E25" s="10" t="str">
        <f t="shared" si="1"/>
        <v>Doză aparat îngropată</v>
      </c>
      <c r="F25" s="16">
        <v>50</v>
      </c>
      <c r="G25" s="13"/>
      <c r="H25" s="6" t="s">
        <v>104</v>
      </c>
      <c r="I25" s="6" t="s">
        <v>94</v>
      </c>
      <c r="J25" s="11">
        <f t="shared" si="2"/>
        <v>-1</v>
      </c>
      <c r="K25" s="17">
        <f t="shared" si="3"/>
        <v>-50</v>
      </c>
      <c r="L25" s="18" t="str">
        <f t="shared" si="4"/>
        <v/>
      </c>
      <c r="M25" s="18">
        <f>IF(J25&lt;&gt;-1,"",ROUND(F25*IFERROR(INDEX(Stocuri!$G$5:$G$204,MATCH(D25,Coduri,0)),0),2))</f>
        <v>34.450000000000003</v>
      </c>
      <c r="N25" s="19" t="str">
        <f t="shared" si="5"/>
        <v/>
      </c>
    </row>
    <row r="26" spans="2:14" x14ac:dyDescent="0.2">
      <c r="B26" s="15">
        <f>DATE(2026,7,9)</f>
        <v>46212</v>
      </c>
      <c r="C26" s="6" t="s">
        <v>15</v>
      </c>
      <c r="D26" s="12" t="s">
        <v>61</v>
      </c>
      <c r="E26" s="10" t="str">
        <f t="shared" si="1"/>
        <v>Siguranță automată 16A</v>
      </c>
      <c r="F26" s="16">
        <v>15</v>
      </c>
      <c r="G26" s="13"/>
      <c r="H26" s="6" t="s">
        <v>105</v>
      </c>
      <c r="I26" s="6" t="s">
        <v>96</v>
      </c>
      <c r="J26" s="11">
        <f t="shared" si="2"/>
        <v>-1</v>
      </c>
      <c r="K26" s="17">
        <f t="shared" si="3"/>
        <v>-15</v>
      </c>
      <c r="L26" s="18" t="str">
        <f t="shared" si="4"/>
        <v/>
      </c>
      <c r="M26" s="18">
        <f>IF(J26&lt;&gt;-1,"",ROUND(F26*IFERROR(INDEX(Stocuri!$G$5:$G$204,MATCH(D26,Coduri,0)),0),2))</f>
        <v>226.29</v>
      </c>
      <c r="N26" s="19" t="str">
        <f t="shared" si="5"/>
        <v/>
      </c>
    </row>
    <row r="27" spans="2:14" x14ac:dyDescent="0.2">
      <c r="B27" s="15">
        <f>DATE(2026,7,9)</f>
        <v>46212</v>
      </c>
      <c r="C27" s="6" t="s">
        <v>15</v>
      </c>
      <c r="D27" s="12" t="s">
        <v>74</v>
      </c>
      <c r="E27" s="10" t="str">
        <f t="shared" si="1"/>
        <v>Bandă izolatoare 19 mm</v>
      </c>
      <c r="F27" s="16">
        <v>6</v>
      </c>
      <c r="G27" s="13"/>
      <c r="H27" s="6" t="s">
        <v>106</v>
      </c>
      <c r="I27" s="6" t="s">
        <v>98</v>
      </c>
      <c r="J27" s="11">
        <f t="shared" si="2"/>
        <v>-1</v>
      </c>
      <c r="K27" s="17">
        <f t="shared" si="3"/>
        <v>-6</v>
      </c>
      <c r="L27" s="18" t="str">
        <f t="shared" si="4"/>
        <v/>
      </c>
      <c r="M27" s="18">
        <f>IF(J27&lt;&gt;-1,"",ROUND(F27*IFERROR(INDEX(Stocuri!$G$5:$G$204,MATCH(D27,Coduri,0)),0),2))</f>
        <v>12.6</v>
      </c>
      <c r="N27" s="19" t="str">
        <f t="shared" si="5"/>
        <v/>
      </c>
    </row>
    <row r="28" spans="2:14" x14ac:dyDescent="0.2">
      <c r="B28" s="15">
        <f>DATE(2026,7,13)</f>
        <v>46216</v>
      </c>
      <c r="C28" s="6" t="s">
        <v>15</v>
      </c>
      <c r="D28" s="12" t="s">
        <v>51</v>
      </c>
      <c r="E28" s="10" t="str">
        <f t="shared" si="1"/>
        <v>Întrerupător simplu Schneider Sedna</v>
      </c>
      <c r="F28" s="16">
        <v>9</v>
      </c>
      <c r="G28" s="13"/>
      <c r="H28" s="6" t="s">
        <v>107</v>
      </c>
      <c r="I28" s="6" t="s">
        <v>100</v>
      </c>
      <c r="J28" s="11">
        <f t="shared" si="2"/>
        <v>-1</v>
      </c>
      <c r="K28" s="17">
        <f t="shared" si="3"/>
        <v>-9</v>
      </c>
      <c r="L28" s="18" t="str">
        <f t="shared" si="4"/>
        <v/>
      </c>
      <c r="M28" s="18">
        <f>IF(J28&lt;&gt;-1,"",ROUND(F28*IFERROR(INDEX(Stocuri!$G$5:$G$204,MATCH(D28,Coduri,0)),0),2))</f>
        <v>87.12</v>
      </c>
      <c r="N28" s="19" t="str">
        <f t="shared" si="5"/>
        <v/>
      </c>
    </row>
    <row r="29" spans="2:14" x14ac:dyDescent="0.2">
      <c r="B29" s="15">
        <f>DATE(2026,7,13)</f>
        <v>46216</v>
      </c>
      <c r="C29" s="6" t="s">
        <v>15</v>
      </c>
      <c r="D29" s="12" t="s">
        <v>64</v>
      </c>
      <c r="E29" s="10" t="str">
        <f t="shared" si="1"/>
        <v>Corp iluminat LED 36W</v>
      </c>
      <c r="F29" s="16">
        <v>6</v>
      </c>
      <c r="G29" s="13"/>
      <c r="H29" s="6" t="s">
        <v>108</v>
      </c>
      <c r="I29" s="6" t="s">
        <v>92</v>
      </c>
      <c r="J29" s="11">
        <f t="shared" si="2"/>
        <v>-1</v>
      </c>
      <c r="K29" s="17">
        <f t="shared" si="3"/>
        <v>-6</v>
      </c>
      <c r="L29" s="18" t="str">
        <f t="shared" si="4"/>
        <v/>
      </c>
      <c r="M29" s="18">
        <f>IF(J29&lt;&gt;-1,"",ROUND(F29*IFERROR(INDEX(Stocuri!$G$5:$G$204,MATCH(D29,Coduri,0)),0),2))</f>
        <v>368.4</v>
      </c>
      <c r="N29" s="19" t="str">
        <f t="shared" si="5"/>
        <v/>
      </c>
    </row>
    <row r="30" spans="2:14" x14ac:dyDescent="0.2">
      <c r="B30" s="15">
        <f>DATE(2026,7,13)</f>
        <v>46216</v>
      </c>
      <c r="C30" s="6" t="s">
        <v>15</v>
      </c>
      <c r="D30" s="12" t="s">
        <v>77</v>
      </c>
      <c r="E30" s="10" t="str">
        <f t="shared" si="1"/>
        <v>Cablu MYF 1,5 mm</v>
      </c>
      <c r="F30" s="16">
        <v>50</v>
      </c>
      <c r="G30" s="13"/>
      <c r="H30" s="6" t="s">
        <v>109</v>
      </c>
      <c r="I30" s="6" t="s">
        <v>94</v>
      </c>
      <c r="J30" s="11">
        <f t="shared" si="2"/>
        <v>-1</v>
      </c>
      <c r="K30" s="17">
        <f t="shared" si="3"/>
        <v>-50</v>
      </c>
      <c r="L30" s="18" t="str">
        <f t="shared" si="4"/>
        <v/>
      </c>
      <c r="M30" s="18">
        <f>IF(J30&lt;&gt;-1,"",ROUND(F30*IFERROR(INDEX(Stocuri!$G$5:$G$204,MATCH(D30,Coduri,0)),0),2))</f>
        <v>53.57</v>
      </c>
      <c r="N30" s="19" t="str">
        <f t="shared" si="5"/>
        <v/>
      </c>
    </row>
    <row r="31" spans="2:14" x14ac:dyDescent="0.2">
      <c r="B31" s="15">
        <f>DATE(2026,7,14)</f>
        <v>46217</v>
      </c>
      <c r="C31" s="6" t="s">
        <v>15</v>
      </c>
      <c r="D31" s="12" t="s">
        <v>39</v>
      </c>
      <c r="E31" s="10" t="str">
        <f t="shared" si="1"/>
        <v>Cablu CYY-F 3x2,5</v>
      </c>
      <c r="F31" s="16">
        <v>110</v>
      </c>
      <c r="G31" s="13"/>
      <c r="H31" s="6" t="s">
        <v>110</v>
      </c>
      <c r="I31" s="6" t="s">
        <v>96</v>
      </c>
      <c r="J31" s="11">
        <f t="shared" si="2"/>
        <v>-1</v>
      </c>
      <c r="K31" s="17">
        <f t="shared" si="3"/>
        <v>-110</v>
      </c>
      <c r="L31" s="18" t="str">
        <f t="shared" si="4"/>
        <v/>
      </c>
      <c r="M31" s="18">
        <f>IF(J31&lt;&gt;-1,"",ROUND(F31*IFERROR(INDEX(Stocuri!$G$5:$G$204,MATCH(D31,Coduri,0)),0),2))</f>
        <v>394.9</v>
      </c>
      <c r="N31" s="19" t="str">
        <f t="shared" si="5"/>
        <v/>
      </c>
    </row>
    <row r="32" spans="2:14" x14ac:dyDescent="0.2">
      <c r="B32" s="15">
        <f>DATE(2026,7,14)</f>
        <v>46217</v>
      </c>
      <c r="C32" s="6" t="s">
        <v>15</v>
      </c>
      <c r="D32" s="12" t="s">
        <v>55</v>
      </c>
      <c r="E32" s="10" t="str">
        <f t="shared" si="1"/>
        <v>Priză dublă cu împământare</v>
      </c>
      <c r="F32" s="16">
        <v>5</v>
      </c>
      <c r="G32" s="13"/>
      <c r="H32" s="6" t="s">
        <v>111</v>
      </c>
      <c r="I32" s="6" t="s">
        <v>98</v>
      </c>
      <c r="J32" s="11">
        <f t="shared" si="2"/>
        <v>-1</v>
      </c>
      <c r="K32" s="17">
        <f t="shared" si="3"/>
        <v>-5</v>
      </c>
      <c r="L32" s="18" t="str">
        <f t="shared" si="4"/>
        <v/>
      </c>
      <c r="M32" s="18">
        <f>IF(J32&lt;&gt;-1,"",ROUND(F32*IFERROR(INDEX(Stocuri!$G$5:$G$204,MATCH(D32,Coduri,0)),0),2))</f>
        <v>63.5</v>
      </c>
      <c r="N32" s="19" t="str">
        <f t="shared" si="5"/>
        <v/>
      </c>
    </row>
    <row r="33" spans="2:14" x14ac:dyDescent="0.2">
      <c r="B33" s="15">
        <f>DATE(2026,7,14)</f>
        <v>46217</v>
      </c>
      <c r="C33" s="6" t="s">
        <v>15</v>
      </c>
      <c r="D33" s="12" t="s">
        <v>68</v>
      </c>
      <c r="E33" s="10" t="str">
        <f t="shared" si="1"/>
        <v>Bec LED E27 9W</v>
      </c>
      <c r="F33" s="16">
        <v>10</v>
      </c>
      <c r="G33" s="13"/>
      <c r="H33" s="6" t="s">
        <v>112</v>
      </c>
      <c r="I33" s="6" t="s">
        <v>100</v>
      </c>
      <c r="J33" s="11">
        <f t="shared" si="2"/>
        <v>-1</v>
      </c>
      <c r="K33" s="17">
        <f t="shared" si="3"/>
        <v>-10</v>
      </c>
      <c r="L33" s="18" t="str">
        <f t="shared" si="4"/>
        <v/>
      </c>
      <c r="M33" s="18">
        <f>IF(J33&lt;&gt;-1,"",ROUND(F33*IFERROR(INDEX(Stocuri!$G$5:$G$204,MATCH(D33,Coduri,0)),0),2))</f>
        <v>64.569999999999993</v>
      </c>
      <c r="N33" s="19" t="str">
        <f t="shared" si="5"/>
        <v/>
      </c>
    </row>
    <row r="34" spans="2:14" x14ac:dyDescent="0.2">
      <c r="B34" s="15">
        <f>DATE(2026,7,15)</f>
        <v>46218</v>
      </c>
      <c r="C34" s="6" t="s">
        <v>15</v>
      </c>
      <c r="D34" s="12" t="s">
        <v>44</v>
      </c>
      <c r="E34" s="10" t="str">
        <f t="shared" si="1"/>
        <v>Tub flexibil PVC 20 mm</v>
      </c>
      <c r="F34" s="16">
        <v>50</v>
      </c>
      <c r="G34" s="13"/>
      <c r="H34" s="6" t="s">
        <v>113</v>
      </c>
      <c r="I34" s="6" t="s">
        <v>94</v>
      </c>
      <c r="J34" s="11">
        <f t="shared" si="2"/>
        <v>-1</v>
      </c>
      <c r="K34" s="17">
        <f t="shared" si="3"/>
        <v>-50</v>
      </c>
      <c r="L34" s="18" t="str">
        <f t="shared" si="4"/>
        <v/>
      </c>
      <c r="M34" s="18">
        <f>IF(J34&lt;&gt;-1,"",ROUND(F34*IFERROR(INDEX(Stocuri!$G$5:$G$204,MATCH(D34,Coduri,0)),0),2))</f>
        <v>58.44</v>
      </c>
      <c r="N34" s="19" t="str">
        <f t="shared" si="5"/>
        <v/>
      </c>
    </row>
    <row r="35" spans="2:14" x14ac:dyDescent="0.2">
      <c r="B35" s="15">
        <f>DATE(2026,7,15)</f>
        <v>46218</v>
      </c>
      <c r="C35" s="6" t="s">
        <v>15</v>
      </c>
      <c r="D35" s="12" t="s">
        <v>58</v>
      </c>
      <c r="E35" s="10" t="str">
        <f t="shared" si="1"/>
        <v>Tablou electric 12 module</v>
      </c>
      <c r="F35" s="16">
        <v>2</v>
      </c>
      <c r="G35" s="13"/>
      <c r="H35" s="6" t="s">
        <v>114</v>
      </c>
      <c r="I35" s="6" t="s">
        <v>96</v>
      </c>
      <c r="J35" s="11">
        <f t="shared" si="2"/>
        <v>-1</v>
      </c>
      <c r="K35" s="17">
        <f t="shared" si="3"/>
        <v>-2</v>
      </c>
      <c r="L35" s="18" t="str">
        <f t="shared" si="4"/>
        <v/>
      </c>
      <c r="M35" s="18">
        <f>IF(J35&lt;&gt;-1,"",ROUND(F35*IFERROR(INDEX(Stocuri!$G$5:$G$204,MATCH(D35,Coduri,0)),0),2))</f>
        <v>193.33</v>
      </c>
      <c r="N35" s="19" t="str">
        <f t="shared" si="5"/>
        <v/>
      </c>
    </row>
    <row r="36" spans="2:14" x14ac:dyDescent="0.2">
      <c r="B36" s="15">
        <f>DATE(2026,7,16)</f>
        <v>46219</v>
      </c>
      <c r="C36" s="6" t="s">
        <v>15</v>
      </c>
      <c r="D36" s="12" t="s">
        <v>47</v>
      </c>
      <c r="E36" s="10" t="str">
        <f t="shared" si="1"/>
        <v>Doză aparat îngropată</v>
      </c>
      <c r="F36" s="16">
        <v>50</v>
      </c>
      <c r="G36" s="13"/>
      <c r="H36" s="6" t="s">
        <v>115</v>
      </c>
      <c r="I36" s="6" t="s">
        <v>92</v>
      </c>
      <c r="J36" s="11">
        <f t="shared" si="2"/>
        <v>-1</v>
      </c>
      <c r="K36" s="17">
        <f t="shared" si="3"/>
        <v>-50</v>
      </c>
      <c r="L36" s="18" t="str">
        <f t="shared" si="4"/>
        <v/>
      </c>
      <c r="M36" s="18">
        <f>IF(J36&lt;&gt;-1,"",ROUND(F36*IFERROR(INDEX(Stocuri!$G$5:$G$204,MATCH(D36,Coduri,0)),0),2))</f>
        <v>34.450000000000003</v>
      </c>
      <c r="N36" s="19" t="str">
        <f t="shared" si="5"/>
        <v/>
      </c>
    </row>
    <row r="37" spans="2:14" x14ac:dyDescent="0.2">
      <c r="B37" s="15">
        <f>DATE(2026,7,16)</f>
        <v>46219</v>
      </c>
      <c r="C37" s="6" t="s">
        <v>15</v>
      </c>
      <c r="D37" s="12" t="s">
        <v>61</v>
      </c>
      <c r="E37" s="10" t="str">
        <f t="shared" si="1"/>
        <v>Siguranță automată 16A</v>
      </c>
      <c r="F37" s="16">
        <v>15</v>
      </c>
      <c r="G37" s="13"/>
      <c r="H37" s="6" t="s">
        <v>116</v>
      </c>
      <c r="I37" s="6" t="s">
        <v>94</v>
      </c>
      <c r="J37" s="11">
        <f t="shared" si="2"/>
        <v>-1</v>
      </c>
      <c r="K37" s="17">
        <f t="shared" si="3"/>
        <v>-15</v>
      </c>
      <c r="L37" s="18" t="str">
        <f t="shared" si="4"/>
        <v/>
      </c>
      <c r="M37" s="18">
        <f>IF(J37&lt;&gt;-1,"",ROUND(F37*IFERROR(INDEX(Stocuri!$G$5:$G$204,MATCH(D37,Coduri,0)),0),2))</f>
        <v>226.29</v>
      </c>
      <c r="N37" s="19" t="str">
        <f t="shared" si="5"/>
        <v/>
      </c>
    </row>
    <row r="38" spans="2:14" x14ac:dyDescent="0.2">
      <c r="B38" s="15">
        <f>DATE(2026,7,16)</f>
        <v>46219</v>
      </c>
      <c r="C38" s="6" t="s">
        <v>15</v>
      </c>
      <c r="D38" s="12" t="s">
        <v>74</v>
      </c>
      <c r="E38" s="10" t="str">
        <f t="shared" si="1"/>
        <v>Bandă izolatoare 19 mm</v>
      </c>
      <c r="F38" s="16">
        <v>6</v>
      </c>
      <c r="G38" s="13"/>
      <c r="H38" s="6" t="s">
        <v>117</v>
      </c>
      <c r="I38" s="6" t="s">
        <v>96</v>
      </c>
      <c r="J38" s="11">
        <f t="shared" si="2"/>
        <v>-1</v>
      </c>
      <c r="K38" s="17">
        <f t="shared" si="3"/>
        <v>-6</v>
      </c>
      <c r="L38" s="18" t="str">
        <f t="shared" si="4"/>
        <v/>
      </c>
      <c r="M38" s="18">
        <f>IF(J38&lt;&gt;-1,"",ROUND(F38*IFERROR(INDEX(Stocuri!$G$5:$G$204,MATCH(D38,Coduri,0)),0),2))</f>
        <v>12.6</v>
      </c>
      <c r="N38" s="19" t="str">
        <f t="shared" si="5"/>
        <v/>
      </c>
    </row>
    <row r="39" spans="2:14" x14ac:dyDescent="0.2">
      <c r="B39" s="15">
        <f>DATE(2026,7,20)</f>
        <v>46223</v>
      </c>
      <c r="C39" s="6" t="s">
        <v>15</v>
      </c>
      <c r="D39" s="12" t="s">
        <v>51</v>
      </c>
      <c r="E39" s="10" t="str">
        <f t="shared" si="1"/>
        <v>Întrerupător simplu Schneider Sedna</v>
      </c>
      <c r="F39" s="16">
        <v>9</v>
      </c>
      <c r="G39" s="13"/>
      <c r="H39" s="6" t="s">
        <v>118</v>
      </c>
      <c r="I39" s="6" t="s">
        <v>98</v>
      </c>
      <c r="J39" s="11">
        <f t="shared" si="2"/>
        <v>-1</v>
      </c>
      <c r="K39" s="17">
        <f t="shared" si="3"/>
        <v>-9</v>
      </c>
      <c r="L39" s="18" t="str">
        <f t="shared" si="4"/>
        <v/>
      </c>
      <c r="M39" s="18">
        <f>IF(J39&lt;&gt;-1,"",ROUND(F39*IFERROR(INDEX(Stocuri!$G$5:$G$204,MATCH(D39,Coduri,0)),0),2))</f>
        <v>87.12</v>
      </c>
      <c r="N39" s="19" t="str">
        <f t="shared" si="5"/>
        <v/>
      </c>
    </row>
    <row r="40" spans="2:14" x14ac:dyDescent="0.2">
      <c r="B40" s="15">
        <f>DATE(2026,7,20)</f>
        <v>46223</v>
      </c>
      <c r="C40" s="6" t="s">
        <v>15</v>
      </c>
      <c r="D40" s="12" t="s">
        <v>64</v>
      </c>
      <c r="E40" s="10" t="str">
        <f t="shared" si="1"/>
        <v>Corp iluminat LED 36W</v>
      </c>
      <c r="F40" s="16">
        <v>6</v>
      </c>
      <c r="G40" s="13"/>
      <c r="H40" s="6" t="s">
        <v>119</v>
      </c>
      <c r="I40" s="6" t="s">
        <v>100</v>
      </c>
      <c r="J40" s="11">
        <f t="shared" si="2"/>
        <v>-1</v>
      </c>
      <c r="K40" s="17">
        <f t="shared" si="3"/>
        <v>-6</v>
      </c>
      <c r="L40" s="18" t="str">
        <f t="shared" si="4"/>
        <v/>
      </c>
      <c r="M40" s="18">
        <f>IF(J40&lt;&gt;-1,"",ROUND(F40*IFERROR(INDEX(Stocuri!$G$5:$G$204,MATCH(D40,Coduri,0)),0),2))</f>
        <v>368.4</v>
      </c>
      <c r="N40" s="19" t="str">
        <f t="shared" si="5"/>
        <v/>
      </c>
    </row>
    <row r="41" spans="2:14" x14ac:dyDescent="0.2">
      <c r="B41" s="15">
        <f>DATE(2026,7,20)</f>
        <v>46223</v>
      </c>
      <c r="C41" s="6" t="s">
        <v>15</v>
      </c>
      <c r="D41" s="12" t="s">
        <v>77</v>
      </c>
      <c r="E41" s="10" t="str">
        <f t="shared" si="1"/>
        <v>Cablu MYF 1,5 mm</v>
      </c>
      <c r="F41" s="16">
        <v>50</v>
      </c>
      <c r="G41" s="13"/>
      <c r="H41" s="6" t="s">
        <v>120</v>
      </c>
      <c r="I41" s="6" t="s">
        <v>92</v>
      </c>
      <c r="J41" s="11">
        <f t="shared" si="2"/>
        <v>-1</v>
      </c>
      <c r="K41" s="17">
        <f t="shared" si="3"/>
        <v>-50</v>
      </c>
      <c r="L41" s="18" t="str">
        <f t="shared" si="4"/>
        <v/>
      </c>
      <c r="M41" s="18">
        <f>IF(J41&lt;&gt;-1,"",ROUND(F41*IFERROR(INDEX(Stocuri!$G$5:$G$204,MATCH(D41,Coduri,0)),0),2))</f>
        <v>53.57</v>
      </c>
      <c r="N41" s="19" t="str">
        <f t="shared" si="5"/>
        <v/>
      </c>
    </row>
    <row r="42" spans="2:14" x14ac:dyDescent="0.2">
      <c r="B42" s="15">
        <f>DATE(2026,7,21)</f>
        <v>46224</v>
      </c>
      <c r="C42" s="6" t="s">
        <v>15</v>
      </c>
      <c r="D42" s="12" t="s">
        <v>39</v>
      </c>
      <c r="E42" s="10" t="str">
        <f t="shared" si="1"/>
        <v>Cablu CYY-F 3x2,5</v>
      </c>
      <c r="F42" s="16">
        <v>110</v>
      </c>
      <c r="G42" s="13"/>
      <c r="H42" s="6" t="s">
        <v>121</v>
      </c>
      <c r="I42" s="6" t="s">
        <v>94</v>
      </c>
      <c r="J42" s="11">
        <f t="shared" si="2"/>
        <v>-1</v>
      </c>
      <c r="K42" s="17">
        <f t="shared" si="3"/>
        <v>-110</v>
      </c>
      <c r="L42" s="18" t="str">
        <f t="shared" si="4"/>
        <v/>
      </c>
      <c r="M42" s="18">
        <f>IF(J42&lt;&gt;-1,"",ROUND(F42*IFERROR(INDEX(Stocuri!$G$5:$G$204,MATCH(D42,Coduri,0)),0),2))</f>
        <v>394.9</v>
      </c>
      <c r="N42" s="19" t="str">
        <f t="shared" si="5"/>
        <v/>
      </c>
    </row>
    <row r="43" spans="2:14" x14ac:dyDescent="0.2">
      <c r="B43" s="15">
        <f>DATE(2026,7,21)</f>
        <v>46224</v>
      </c>
      <c r="C43" s="6" t="s">
        <v>15</v>
      </c>
      <c r="D43" s="12" t="s">
        <v>55</v>
      </c>
      <c r="E43" s="10" t="str">
        <f t="shared" si="1"/>
        <v>Priză dublă cu împământare</v>
      </c>
      <c r="F43" s="16">
        <v>5</v>
      </c>
      <c r="G43" s="13"/>
      <c r="H43" s="6" t="s">
        <v>122</v>
      </c>
      <c r="I43" s="6" t="s">
        <v>96</v>
      </c>
      <c r="J43" s="11">
        <f t="shared" si="2"/>
        <v>-1</v>
      </c>
      <c r="K43" s="17">
        <f t="shared" si="3"/>
        <v>-5</v>
      </c>
      <c r="L43" s="18" t="str">
        <f t="shared" si="4"/>
        <v/>
      </c>
      <c r="M43" s="18">
        <f>IF(J43&lt;&gt;-1,"",ROUND(F43*IFERROR(INDEX(Stocuri!$G$5:$G$204,MATCH(D43,Coduri,0)),0),2))</f>
        <v>63.5</v>
      </c>
      <c r="N43" s="19" t="str">
        <f t="shared" si="5"/>
        <v/>
      </c>
    </row>
    <row r="44" spans="2:14" x14ac:dyDescent="0.2">
      <c r="B44" s="15">
        <f>DATE(2026,7,21)</f>
        <v>46224</v>
      </c>
      <c r="C44" s="6" t="s">
        <v>15</v>
      </c>
      <c r="D44" s="12" t="s">
        <v>68</v>
      </c>
      <c r="E44" s="10" t="str">
        <f t="shared" si="1"/>
        <v>Bec LED E27 9W</v>
      </c>
      <c r="F44" s="16">
        <v>10</v>
      </c>
      <c r="G44" s="13"/>
      <c r="H44" s="6" t="s">
        <v>123</v>
      </c>
      <c r="I44" s="6" t="s">
        <v>98</v>
      </c>
      <c r="J44" s="11">
        <f t="shared" si="2"/>
        <v>-1</v>
      </c>
      <c r="K44" s="17">
        <f t="shared" si="3"/>
        <v>-10</v>
      </c>
      <c r="L44" s="18" t="str">
        <f t="shared" si="4"/>
        <v/>
      </c>
      <c r="M44" s="18">
        <f>IF(J44&lt;&gt;-1,"",ROUND(F44*IFERROR(INDEX(Stocuri!$G$5:$G$204,MATCH(D44,Coduri,0)),0),2))</f>
        <v>64.569999999999993</v>
      </c>
      <c r="N44" s="19" t="str">
        <f t="shared" si="5"/>
        <v/>
      </c>
    </row>
    <row r="45" spans="2:14" x14ac:dyDescent="0.2">
      <c r="B45" s="15">
        <f>DATE(2026,7,22)</f>
        <v>46225</v>
      </c>
      <c r="C45" s="6" t="s">
        <v>15</v>
      </c>
      <c r="D45" s="12" t="s">
        <v>44</v>
      </c>
      <c r="E45" s="10" t="str">
        <f t="shared" si="1"/>
        <v>Tub flexibil PVC 20 mm</v>
      </c>
      <c r="F45" s="16">
        <v>50</v>
      </c>
      <c r="G45" s="13"/>
      <c r="H45" s="6" t="s">
        <v>124</v>
      </c>
      <c r="I45" s="6" t="s">
        <v>92</v>
      </c>
      <c r="J45" s="11">
        <f t="shared" si="2"/>
        <v>-1</v>
      </c>
      <c r="K45" s="17">
        <f t="shared" si="3"/>
        <v>-50</v>
      </c>
      <c r="L45" s="18" t="str">
        <f t="shared" si="4"/>
        <v/>
      </c>
      <c r="M45" s="18">
        <f>IF(J45&lt;&gt;-1,"",ROUND(F45*IFERROR(INDEX(Stocuri!$G$5:$G$204,MATCH(D45,Coduri,0)),0),2))</f>
        <v>58.44</v>
      </c>
      <c r="N45" s="19" t="str">
        <f t="shared" si="5"/>
        <v/>
      </c>
    </row>
    <row r="46" spans="2:14" x14ac:dyDescent="0.2">
      <c r="B46" s="15">
        <f>DATE(2026,7,22)</f>
        <v>46225</v>
      </c>
      <c r="C46" s="6" t="s">
        <v>15</v>
      </c>
      <c r="D46" s="12" t="s">
        <v>58</v>
      </c>
      <c r="E46" s="10" t="str">
        <f t="shared" si="1"/>
        <v>Tablou electric 12 module</v>
      </c>
      <c r="F46" s="16">
        <v>1</v>
      </c>
      <c r="G46" s="13"/>
      <c r="H46" s="6" t="s">
        <v>125</v>
      </c>
      <c r="I46" s="6" t="s">
        <v>94</v>
      </c>
      <c r="J46" s="11">
        <f t="shared" si="2"/>
        <v>-1</v>
      </c>
      <c r="K46" s="17">
        <f t="shared" si="3"/>
        <v>-1</v>
      </c>
      <c r="L46" s="18" t="str">
        <f t="shared" si="4"/>
        <v/>
      </c>
      <c r="M46" s="18">
        <f>IF(J46&lt;&gt;-1,"",ROUND(F46*IFERROR(INDEX(Stocuri!$G$5:$G$204,MATCH(D46,Coduri,0)),0),2))</f>
        <v>96.67</v>
      </c>
      <c r="N46" s="19" t="str">
        <f t="shared" si="5"/>
        <v/>
      </c>
    </row>
    <row r="47" spans="2:14" x14ac:dyDescent="0.2">
      <c r="B47" s="15">
        <f>DATE(2026,7,23)</f>
        <v>46226</v>
      </c>
      <c r="C47" s="6" t="s">
        <v>15</v>
      </c>
      <c r="D47" s="12" t="s">
        <v>47</v>
      </c>
      <c r="E47" s="10" t="str">
        <f t="shared" si="1"/>
        <v>Doză aparat îngropată</v>
      </c>
      <c r="F47" s="16">
        <v>50</v>
      </c>
      <c r="G47" s="13"/>
      <c r="H47" s="6" t="s">
        <v>126</v>
      </c>
      <c r="I47" s="6" t="s">
        <v>100</v>
      </c>
      <c r="J47" s="11">
        <f t="shared" si="2"/>
        <v>-1</v>
      </c>
      <c r="K47" s="17">
        <f t="shared" si="3"/>
        <v>-50</v>
      </c>
      <c r="L47" s="18" t="str">
        <f t="shared" si="4"/>
        <v/>
      </c>
      <c r="M47" s="18">
        <f>IF(J47&lt;&gt;-1,"",ROUND(F47*IFERROR(INDEX(Stocuri!$G$5:$G$204,MATCH(D47,Coduri,0)),0),2))</f>
        <v>34.450000000000003</v>
      </c>
      <c r="N47" s="19" t="str">
        <f t="shared" si="5"/>
        <v/>
      </c>
    </row>
    <row r="48" spans="2:14" x14ac:dyDescent="0.2">
      <c r="B48" s="15">
        <f>DATE(2026,7,23)</f>
        <v>46226</v>
      </c>
      <c r="C48" s="6" t="s">
        <v>15</v>
      </c>
      <c r="D48" s="12" t="s">
        <v>61</v>
      </c>
      <c r="E48" s="10" t="str">
        <f t="shared" si="1"/>
        <v>Siguranță automată 16A</v>
      </c>
      <c r="F48" s="16">
        <v>15</v>
      </c>
      <c r="G48" s="13"/>
      <c r="H48" s="6" t="s">
        <v>127</v>
      </c>
      <c r="I48" s="6" t="s">
        <v>92</v>
      </c>
      <c r="J48" s="11">
        <f t="shared" si="2"/>
        <v>-1</v>
      </c>
      <c r="K48" s="17">
        <f t="shared" si="3"/>
        <v>-15</v>
      </c>
      <c r="L48" s="18" t="str">
        <f t="shared" si="4"/>
        <v/>
      </c>
      <c r="M48" s="18">
        <f>IF(J48&lt;&gt;-1,"",ROUND(F48*IFERROR(INDEX(Stocuri!$G$5:$G$204,MATCH(D48,Coduri,0)),0),2))</f>
        <v>226.29</v>
      </c>
      <c r="N48" s="19" t="str">
        <f t="shared" si="5"/>
        <v/>
      </c>
    </row>
    <row r="49" spans="2:14" x14ac:dyDescent="0.2">
      <c r="B49" s="15">
        <f>DATE(2026,7,23)</f>
        <v>46226</v>
      </c>
      <c r="C49" s="6" t="s">
        <v>15</v>
      </c>
      <c r="D49" s="12" t="s">
        <v>74</v>
      </c>
      <c r="E49" s="10" t="str">
        <f t="shared" si="1"/>
        <v>Bandă izolatoare 19 mm</v>
      </c>
      <c r="F49" s="16">
        <v>6</v>
      </c>
      <c r="G49" s="13"/>
      <c r="H49" s="6" t="s">
        <v>128</v>
      </c>
      <c r="I49" s="6" t="s">
        <v>94</v>
      </c>
      <c r="J49" s="11">
        <f t="shared" si="2"/>
        <v>-1</v>
      </c>
      <c r="K49" s="17">
        <f t="shared" si="3"/>
        <v>-6</v>
      </c>
      <c r="L49" s="18" t="str">
        <f t="shared" si="4"/>
        <v/>
      </c>
      <c r="M49" s="18">
        <f>IF(J49&lt;&gt;-1,"",ROUND(F49*IFERROR(INDEX(Stocuri!$G$5:$G$204,MATCH(D49,Coduri,0)),0),2))</f>
        <v>12.6</v>
      </c>
      <c r="N49" s="19" t="str">
        <f t="shared" si="5"/>
        <v/>
      </c>
    </row>
    <row r="50" spans="2:14" x14ac:dyDescent="0.2">
      <c r="B50" s="15">
        <f>DATE(2026,7,27)</f>
        <v>46230</v>
      </c>
      <c r="C50" s="6" t="s">
        <v>15</v>
      </c>
      <c r="D50" s="12" t="s">
        <v>51</v>
      </c>
      <c r="E50" s="10" t="str">
        <f t="shared" si="1"/>
        <v>Întrerupător simplu Schneider Sedna</v>
      </c>
      <c r="F50" s="16">
        <v>9</v>
      </c>
      <c r="G50" s="13"/>
      <c r="H50" s="6" t="s">
        <v>129</v>
      </c>
      <c r="I50" s="6" t="s">
        <v>96</v>
      </c>
      <c r="J50" s="11">
        <f t="shared" si="2"/>
        <v>-1</v>
      </c>
      <c r="K50" s="17">
        <f t="shared" si="3"/>
        <v>-9</v>
      </c>
      <c r="L50" s="18" t="str">
        <f t="shared" si="4"/>
        <v/>
      </c>
      <c r="M50" s="18">
        <f>IF(J50&lt;&gt;-1,"",ROUND(F50*IFERROR(INDEX(Stocuri!$G$5:$G$204,MATCH(D50,Coduri,0)),0),2))</f>
        <v>87.12</v>
      </c>
      <c r="N50" s="19" t="str">
        <f t="shared" si="5"/>
        <v/>
      </c>
    </row>
    <row r="51" spans="2:14" x14ac:dyDescent="0.2">
      <c r="B51" s="15">
        <f>DATE(2026,7,27)</f>
        <v>46230</v>
      </c>
      <c r="C51" s="6" t="s">
        <v>15</v>
      </c>
      <c r="D51" s="12" t="s">
        <v>64</v>
      </c>
      <c r="E51" s="10" t="str">
        <f t="shared" si="1"/>
        <v>Corp iluminat LED 36W</v>
      </c>
      <c r="F51" s="16">
        <v>6</v>
      </c>
      <c r="G51" s="13"/>
      <c r="H51" s="6" t="s">
        <v>130</v>
      </c>
      <c r="I51" s="6" t="s">
        <v>98</v>
      </c>
      <c r="J51" s="11">
        <f t="shared" si="2"/>
        <v>-1</v>
      </c>
      <c r="K51" s="17">
        <f t="shared" si="3"/>
        <v>-6</v>
      </c>
      <c r="L51" s="18" t="str">
        <f t="shared" si="4"/>
        <v/>
      </c>
      <c r="M51" s="18">
        <f>IF(J51&lt;&gt;-1,"",ROUND(F51*IFERROR(INDEX(Stocuri!$G$5:$G$204,MATCH(D51,Coduri,0)),0),2))</f>
        <v>368.4</v>
      </c>
      <c r="N51" s="19" t="str">
        <f t="shared" si="5"/>
        <v/>
      </c>
    </row>
    <row r="52" spans="2:14" x14ac:dyDescent="0.2">
      <c r="B52" s="15">
        <f>DATE(2026,7,27)</f>
        <v>46230</v>
      </c>
      <c r="C52" s="6" t="s">
        <v>15</v>
      </c>
      <c r="D52" s="12" t="s">
        <v>77</v>
      </c>
      <c r="E52" s="10" t="str">
        <f t="shared" si="1"/>
        <v>Cablu MYF 1,5 mm</v>
      </c>
      <c r="F52" s="16">
        <v>50</v>
      </c>
      <c r="G52" s="13"/>
      <c r="H52" s="6" t="s">
        <v>131</v>
      </c>
      <c r="I52" s="6" t="s">
        <v>100</v>
      </c>
      <c r="J52" s="11">
        <f t="shared" si="2"/>
        <v>-1</v>
      </c>
      <c r="K52" s="17">
        <f t="shared" si="3"/>
        <v>-50</v>
      </c>
      <c r="L52" s="18" t="str">
        <f t="shared" si="4"/>
        <v/>
      </c>
      <c r="M52" s="18">
        <f>IF(J52&lt;&gt;-1,"",ROUND(F52*IFERROR(INDEX(Stocuri!$G$5:$G$204,MATCH(D52,Coduri,0)),0),2))</f>
        <v>53.57</v>
      </c>
      <c r="N52" s="19" t="str">
        <f t="shared" si="5"/>
        <v/>
      </c>
    </row>
    <row r="53" spans="2:14" x14ac:dyDescent="0.2">
      <c r="B53" s="15">
        <f>DATE(2026,7,28)</f>
        <v>46231</v>
      </c>
      <c r="C53" s="6" t="s">
        <v>15</v>
      </c>
      <c r="D53" s="12" t="s">
        <v>39</v>
      </c>
      <c r="E53" s="10" t="str">
        <f t="shared" si="1"/>
        <v>Cablu CYY-F 3x2,5</v>
      </c>
      <c r="F53" s="16">
        <v>110</v>
      </c>
      <c r="G53" s="13"/>
      <c r="H53" s="6" t="s">
        <v>132</v>
      </c>
      <c r="I53" s="6" t="s">
        <v>92</v>
      </c>
      <c r="J53" s="11">
        <f t="shared" si="2"/>
        <v>-1</v>
      </c>
      <c r="K53" s="17">
        <f t="shared" si="3"/>
        <v>-110</v>
      </c>
      <c r="L53" s="18" t="str">
        <f t="shared" si="4"/>
        <v/>
      </c>
      <c r="M53" s="18">
        <f>IF(J53&lt;&gt;-1,"",ROUND(F53*IFERROR(INDEX(Stocuri!$G$5:$G$204,MATCH(D53,Coduri,0)),0),2))</f>
        <v>394.9</v>
      </c>
      <c r="N53" s="19" t="str">
        <f t="shared" si="5"/>
        <v/>
      </c>
    </row>
    <row r="54" spans="2:14" x14ac:dyDescent="0.2">
      <c r="B54" s="15">
        <f>DATE(2026,7,28)</f>
        <v>46231</v>
      </c>
      <c r="C54" s="6" t="s">
        <v>15</v>
      </c>
      <c r="D54" s="12" t="s">
        <v>55</v>
      </c>
      <c r="E54" s="10" t="str">
        <f t="shared" si="1"/>
        <v>Priză dublă cu împământare</v>
      </c>
      <c r="F54" s="16">
        <v>5</v>
      </c>
      <c r="G54" s="13"/>
      <c r="H54" s="6" t="s">
        <v>133</v>
      </c>
      <c r="I54" s="6" t="s">
        <v>94</v>
      </c>
      <c r="J54" s="11">
        <f t="shared" si="2"/>
        <v>-1</v>
      </c>
      <c r="K54" s="17">
        <f t="shared" si="3"/>
        <v>-5</v>
      </c>
      <c r="L54" s="18" t="str">
        <f t="shared" si="4"/>
        <v/>
      </c>
      <c r="M54" s="18">
        <f>IF(J54&lt;&gt;-1,"",ROUND(F54*IFERROR(INDEX(Stocuri!$G$5:$G$204,MATCH(D54,Coduri,0)),0),2))</f>
        <v>63.5</v>
      </c>
      <c r="N54" s="19" t="str">
        <f t="shared" si="5"/>
        <v/>
      </c>
    </row>
    <row r="55" spans="2:14" x14ac:dyDescent="0.2">
      <c r="B55" s="15">
        <f>DATE(2026,7,28)</f>
        <v>46231</v>
      </c>
      <c r="C55" s="6" t="s">
        <v>15</v>
      </c>
      <c r="D55" s="12" t="s">
        <v>68</v>
      </c>
      <c r="E55" s="10" t="str">
        <f t="shared" si="1"/>
        <v>Bec LED E27 9W</v>
      </c>
      <c r="F55" s="16">
        <v>10</v>
      </c>
      <c r="G55" s="13"/>
      <c r="H55" s="6" t="s">
        <v>134</v>
      </c>
      <c r="I55" s="6" t="s">
        <v>96</v>
      </c>
      <c r="J55" s="11">
        <f t="shared" si="2"/>
        <v>-1</v>
      </c>
      <c r="K55" s="17">
        <f t="shared" si="3"/>
        <v>-10</v>
      </c>
      <c r="L55" s="18" t="str">
        <f t="shared" si="4"/>
        <v/>
      </c>
      <c r="M55" s="18">
        <f>IF(J55&lt;&gt;-1,"",ROUND(F55*IFERROR(INDEX(Stocuri!$G$5:$G$204,MATCH(D55,Coduri,0)),0),2))</f>
        <v>64.569999999999993</v>
      </c>
      <c r="N55" s="19" t="str">
        <f t="shared" si="5"/>
        <v/>
      </c>
    </row>
    <row r="56" spans="2:14" x14ac:dyDescent="0.2">
      <c r="B56" s="15">
        <f>DATE(2026,7,29)</f>
        <v>46232</v>
      </c>
      <c r="C56" s="6" t="s">
        <v>15</v>
      </c>
      <c r="D56" s="12" t="s">
        <v>44</v>
      </c>
      <c r="E56" s="10" t="str">
        <f t="shared" si="1"/>
        <v>Tub flexibil PVC 20 mm</v>
      </c>
      <c r="F56" s="16">
        <v>50</v>
      </c>
      <c r="G56" s="13"/>
      <c r="H56" s="6" t="s">
        <v>135</v>
      </c>
      <c r="I56" s="6" t="s">
        <v>100</v>
      </c>
      <c r="J56" s="11">
        <f t="shared" si="2"/>
        <v>-1</v>
      </c>
      <c r="K56" s="17">
        <f t="shared" si="3"/>
        <v>-50</v>
      </c>
      <c r="L56" s="18" t="str">
        <f t="shared" si="4"/>
        <v/>
      </c>
      <c r="M56" s="18">
        <f>IF(J56&lt;&gt;-1,"",ROUND(F56*IFERROR(INDEX(Stocuri!$G$5:$G$204,MATCH(D56,Coduri,0)),0),2))</f>
        <v>58.44</v>
      </c>
      <c r="N56" s="19" t="str">
        <f t="shared" si="5"/>
        <v/>
      </c>
    </row>
    <row r="57" spans="2:14" x14ac:dyDescent="0.2">
      <c r="B57" s="15">
        <f>DATE(2026,7,29)</f>
        <v>46232</v>
      </c>
      <c r="C57" s="6" t="s">
        <v>15</v>
      </c>
      <c r="D57" s="12" t="s">
        <v>58</v>
      </c>
      <c r="E57" s="10" t="str">
        <f t="shared" si="1"/>
        <v>Tablou electric 12 module</v>
      </c>
      <c r="F57" s="16">
        <v>2</v>
      </c>
      <c r="G57" s="13"/>
      <c r="H57" s="6" t="s">
        <v>136</v>
      </c>
      <c r="I57" s="6" t="s">
        <v>92</v>
      </c>
      <c r="J57" s="11">
        <f t="shared" si="2"/>
        <v>-1</v>
      </c>
      <c r="K57" s="17">
        <f t="shared" si="3"/>
        <v>-2</v>
      </c>
      <c r="L57" s="18" t="str">
        <f t="shared" si="4"/>
        <v/>
      </c>
      <c r="M57" s="18">
        <f>IF(J57&lt;&gt;-1,"",ROUND(F57*IFERROR(INDEX(Stocuri!$G$5:$G$204,MATCH(D57,Coduri,0)),0),2))</f>
        <v>193.33</v>
      </c>
      <c r="N57" s="19" t="str">
        <f t="shared" si="5"/>
        <v/>
      </c>
    </row>
    <row r="58" spans="2:14" x14ac:dyDescent="0.2">
      <c r="B58" s="15">
        <f>DATE(2026,7,30)</f>
        <v>46233</v>
      </c>
      <c r="C58" s="6" t="s">
        <v>15</v>
      </c>
      <c r="D58" s="12" t="s">
        <v>47</v>
      </c>
      <c r="E58" s="10" t="str">
        <f t="shared" si="1"/>
        <v>Doză aparat îngropată</v>
      </c>
      <c r="F58" s="16">
        <v>50</v>
      </c>
      <c r="G58" s="13"/>
      <c r="H58" s="6" t="s">
        <v>137</v>
      </c>
      <c r="I58" s="6" t="s">
        <v>98</v>
      </c>
      <c r="J58" s="11">
        <f t="shared" si="2"/>
        <v>-1</v>
      </c>
      <c r="K58" s="17">
        <f t="shared" si="3"/>
        <v>-50</v>
      </c>
      <c r="L58" s="18" t="str">
        <f t="shared" si="4"/>
        <v/>
      </c>
      <c r="M58" s="18">
        <f>IF(J58&lt;&gt;-1,"",ROUND(F58*IFERROR(INDEX(Stocuri!$G$5:$G$204,MATCH(D58,Coduri,0)),0),2))</f>
        <v>34.450000000000003</v>
      </c>
      <c r="N58" s="19" t="str">
        <f t="shared" si="5"/>
        <v/>
      </c>
    </row>
    <row r="59" spans="2:14" x14ac:dyDescent="0.2">
      <c r="B59" s="15">
        <f>DATE(2026,7,30)</f>
        <v>46233</v>
      </c>
      <c r="C59" s="6" t="s">
        <v>15</v>
      </c>
      <c r="D59" s="12" t="s">
        <v>61</v>
      </c>
      <c r="E59" s="10" t="str">
        <f t="shared" si="1"/>
        <v>Siguranță automată 16A</v>
      </c>
      <c r="F59" s="16">
        <v>15</v>
      </c>
      <c r="G59" s="13"/>
      <c r="H59" s="6" t="s">
        <v>138</v>
      </c>
      <c r="I59" s="6" t="s">
        <v>100</v>
      </c>
      <c r="J59" s="11">
        <f t="shared" si="2"/>
        <v>-1</v>
      </c>
      <c r="K59" s="17">
        <f t="shared" si="3"/>
        <v>-15</v>
      </c>
      <c r="L59" s="18" t="str">
        <f t="shared" si="4"/>
        <v/>
      </c>
      <c r="M59" s="18">
        <f>IF(J59&lt;&gt;-1,"",ROUND(F59*IFERROR(INDEX(Stocuri!$G$5:$G$204,MATCH(D59,Coduri,0)),0),2))</f>
        <v>226.29</v>
      </c>
      <c r="N59" s="19" t="str">
        <f t="shared" si="5"/>
        <v/>
      </c>
    </row>
    <row r="60" spans="2:14" x14ac:dyDescent="0.2">
      <c r="B60" s="15">
        <f>DATE(2026,7,30)</f>
        <v>46233</v>
      </c>
      <c r="C60" s="6" t="s">
        <v>15</v>
      </c>
      <c r="D60" s="12" t="s">
        <v>74</v>
      </c>
      <c r="E60" s="10" t="str">
        <f t="shared" si="1"/>
        <v>Bandă izolatoare 19 mm</v>
      </c>
      <c r="F60" s="16">
        <v>6</v>
      </c>
      <c r="G60" s="13"/>
      <c r="H60" s="6" t="s">
        <v>139</v>
      </c>
      <c r="I60" s="6" t="s">
        <v>92</v>
      </c>
      <c r="J60" s="11">
        <f t="shared" si="2"/>
        <v>-1</v>
      </c>
      <c r="K60" s="17">
        <f t="shared" si="3"/>
        <v>-6</v>
      </c>
      <c r="L60" s="18" t="str">
        <f t="shared" si="4"/>
        <v/>
      </c>
      <c r="M60" s="18">
        <f>IF(J60&lt;&gt;-1,"",ROUND(F60*IFERROR(INDEX(Stocuri!$G$5:$G$204,MATCH(D60,Coduri,0)),0),2))</f>
        <v>12.6</v>
      </c>
      <c r="N60" s="19" t="str">
        <f t="shared" si="5"/>
        <v/>
      </c>
    </row>
    <row r="61" spans="2:14" x14ac:dyDescent="0.2">
      <c r="B61" s="15">
        <f>DATE(2026,8,1)</f>
        <v>46235</v>
      </c>
      <c r="C61" s="6" t="s">
        <v>12</v>
      </c>
      <c r="D61" s="12" t="s">
        <v>64</v>
      </c>
      <c r="E61" s="10" t="str">
        <f t="shared" si="1"/>
        <v>Corp iluminat LED 36W</v>
      </c>
      <c r="F61" s="16">
        <v>40</v>
      </c>
      <c r="G61" s="13">
        <v>62</v>
      </c>
      <c r="H61" s="6" t="s">
        <v>140</v>
      </c>
      <c r="I61" s="6" t="s">
        <v>66</v>
      </c>
      <c r="J61" s="11">
        <f t="shared" si="2"/>
        <v>1</v>
      </c>
      <c r="K61" s="17">
        <f t="shared" si="3"/>
        <v>40</v>
      </c>
      <c r="L61" s="18">
        <f t="shared" si="4"/>
        <v>2480</v>
      </c>
      <c r="M61" s="18" t="str">
        <f>IF(J61&lt;&gt;-1,"",ROUND(F61*IFERROR(INDEX(Stocuri!$G$5:$G$204,MATCH(D61,Coduri,0)),0),2))</f>
        <v/>
      </c>
      <c r="N61" s="19" t="str">
        <f t="shared" si="5"/>
        <v/>
      </c>
    </row>
    <row r="62" spans="2:14" x14ac:dyDescent="0.2">
      <c r="B62" s="15">
        <f>DATE(2026,8,3)</f>
        <v>46237</v>
      </c>
      <c r="C62" s="6" t="s">
        <v>15</v>
      </c>
      <c r="D62" s="12" t="s">
        <v>51</v>
      </c>
      <c r="E62" s="10" t="str">
        <f t="shared" si="1"/>
        <v>Întrerupător simplu Schneider Sedna</v>
      </c>
      <c r="F62" s="16">
        <v>9</v>
      </c>
      <c r="G62" s="13"/>
      <c r="H62" s="6" t="s">
        <v>141</v>
      </c>
      <c r="I62" s="6" t="s">
        <v>94</v>
      </c>
      <c r="J62" s="11">
        <f t="shared" si="2"/>
        <v>-1</v>
      </c>
      <c r="K62" s="17">
        <f t="shared" si="3"/>
        <v>-9</v>
      </c>
      <c r="L62" s="18" t="str">
        <f t="shared" si="4"/>
        <v/>
      </c>
      <c r="M62" s="18">
        <f>IF(J62&lt;&gt;-1,"",ROUND(F62*IFERROR(INDEX(Stocuri!$G$5:$G$204,MATCH(D62,Coduri,0)),0),2))</f>
        <v>87.12</v>
      </c>
      <c r="N62" s="19" t="str">
        <f t="shared" si="5"/>
        <v/>
      </c>
    </row>
    <row r="63" spans="2:14" x14ac:dyDescent="0.2">
      <c r="B63" s="15">
        <f>DATE(2026,8,3)</f>
        <v>46237</v>
      </c>
      <c r="C63" s="6" t="s">
        <v>15</v>
      </c>
      <c r="D63" s="12" t="s">
        <v>64</v>
      </c>
      <c r="E63" s="10" t="str">
        <f t="shared" si="1"/>
        <v>Corp iluminat LED 36W</v>
      </c>
      <c r="F63" s="16">
        <v>6</v>
      </c>
      <c r="G63" s="13"/>
      <c r="H63" s="6" t="s">
        <v>142</v>
      </c>
      <c r="I63" s="6" t="s">
        <v>96</v>
      </c>
      <c r="J63" s="11">
        <f t="shared" si="2"/>
        <v>-1</v>
      </c>
      <c r="K63" s="17">
        <f t="shared" si="3"/>
        <v>-6</v>
      </c>
      <c r="L63" s="18" t="str">
        <f t="shared" si="4"/>
        <v/>
      </c>
      <c r="M63" s="18">
        <f>IF(J63&lt;&gt;-1,"",ROUND(F63*IFERROR(INDEX(Stocuri!$G$5:$G$204,MATCH(D63,Coduri,0)),0),2))</f>
        <v>368.4</v>
      </c>
      <c r="N63" s="19" t="str">
        <f t="shared" si="5"/>
        <v/>
      </c>
    </row>
    <row r="64" spans="2:14" x14ac:dyDescent="0.2">
      <c r="B64" s="15">
        <f>DATE(2026,8,3)</f>
        <v>46237</v>
      </c>
      <c r="C64" s="6" t="s">
        <v>15</v>
      </c>
      <c r="D64" s="12" t="s">
        <v>77</v>
      </c>
      <c r="E64" s="10" t="str">
        <f t="shared" si="1"/>
        <v>Cablu MYF 1,5 mm</v>
      </c>
      <c r="F64" s="16">
        <v>50</v>
      </c>
      <c r="G64" s="13"/>
      <c r="H64" s="6" t="s">
        <v>143</v>
      </c>
      <c r="I64" s="6" t="s">
        <v>98</v>
      </c>
      <c r="J64" s="11">
        <f t="shared" si="2"/>
        <v>-1</v>
      </c>
      <c r="K64" s="17">
        <f t="shared" si="3"/>
        <v>-50</v>
      </c>
      <c r="L64" s="18" t="str">
        <f t="shared" si="4"/>
        <v/>
      </c>
      <c r="M64" s="18">
        <f>IF(J64&lt;&gt;-1,"",ROUND(F64*IFERROR(INDEX(Stocuri!$G$5:$G$204,MATCH(D64,Coduri,0)),0),2))</f>
        <v>53.57</v>
      </c>
      <c r="N64" s="19" t="str">
        <f t="shared" si="5"/>
        <v/>
      </c>
    </row>
    <row r="65" spans="2:14" x14ac:dyDescent="0.2">
      <c r="B65" s="15">
        <f>DATE(2026,8,4)</f>
        <v>46238</v>
      </c>
      <c r="C65" s="6" t="s">
        <v>16</v>
      </c>
      <c r="D65" s="12" t="s">
        <v>39</v>
      </c>
      <c r="E65" s="10" t="str">
        <f t="shared" si="1"/>
        <v>Cablu CYY-F 3x2,5</v>
      </c>
      <c r="F65" s="16">
        <v>110</v>
      </c>
      <c r="G65" s="13"/>
      <c r="H65" s="6" t="s">
        <v>144</v>
      </c>
      <c r="I65" s="6" t="s">
        <v>145</v>
      </c>
      <c r="J65" s="11">
        <f t="shared" si="2"/>
        <v>-1</v>
      </c>
      <c r="K65" s="17">
        <f t="shared" si="3"/>
        <v>-110</v>
      </c>
      <c r="L65" s="18" t="str">
        <f t="shared" si="4"/>
        <v/>
      </c>
      <c r="M65" s="18">
        <f>IF(J65&lt;&gt;-1,"",ROUND(F65*IFERROR(INDEX(Stocuri!$G$5:$G$204,MATCH(D65,Coduri,0)),0),2))</f>
        <v>394.9</v>
      </c>
      <c r="N65" s="19" t="str">
        <f t="shared" si="5"/>
        <v/>
      </c>
    </row>
    <row r="66" spans="2:14" x14ac:dyDescent="0.2">
      <c r="B66" s="15">
        <f>DATE(2026,8,4)</f>
        <v>46238</v>
      </c>
      <c r="C66" s="6" t="s">
        <v>15</v>
      </c>
      <c r="D66" s="12" t="s">
        <v>55</v>
      </c>
      <c r="E66" s="10" t="str">
        <f t="shared" si="1"/>
        <v>Priză dublă cu împământare</v>
      </c>
      <c r="F66" s="16">
        <v>5</v>
      </c>
      <c r="G66" s="13"/>
      <c r="H66" s="6" t="s">
        <v>146</v>
      </c>
      <c r="I66" s="6" t="s">
        <v>92</v>
      </c>
      <c r="J66" s="11">
        <f t="shared" si="2"/>
        <v>-1</v>
      </c>
      <c r="K66" s="17">
        <f t="shared" si="3"/>
        <v>-5</v>
      </c>
      <c r="L66" s="18" t="str">
        <f t="shared" si="4"/>
        <v/>
      </c>
      <c r="M66" s="18">
        <f>IF(J66&lt;&gt;-1,"",ROUND(F66*IFERROR(INDEX(Stocuri!$G$5:$G$204,MATCH(D66,Coduri,0)),0),2))</f>
        <v>63.5</v>
      </c>
      <c r="N66" s="19" t="str">
        <f t="shared" si="5"/>
        <v/>
      </c>
    </row>
    <row r="67" spans="2:14" x14ac:dyDescent="0.2">
      <c r="B67" s="15">
        <f>DATE(2026,8,4)</f>
        <v>46238</v>
      </c>
      <c r="C67" s="6" t="s">
        <v>15</v>
      </c>
      <c r="D67" s="12" t="s">
        <v>68</v>
      </c>
      <c r="E67" s="10" t="str">
        <f t="shared" si="1"/>
        <v>Bec LED E27 9W</v>
      </c>
      <c r="F67" s="16">
        <v>10</v>
      </c>
      <c r="G67" s="13"/>
      <c r="H67" s="6" t="s">
        <v>147</v>
      </c>
      <c r="I67" s="6" t="s">
        <v>94</v>
      </c>
      <c r="J67" s="11">
        <f t="shared" si="2"/>
        <v>-1</v>
      </c>
      <c r="K67" s="17">
        <f t="shared" si="3"/>
        <v>-10</v>
      </c>
      <c r="L67" s="18" t="str">
        <f t="shared" si="4"/>
        <v/>
      </c>
      <c r="M67" s="18">
        <f>IF(J67&lt;&gt;-1,"",ROUND(F67*IFERROR(INDEX(Stocuri!$G$5:$G$204,MATCH(D67,Coduri,0)),0),2))</f>
        <v>64.569999999999993</v>
      </c>
      <c r="N67" s="19" t="str">
        <f t="shared" si="5"/>
        <v/>
      </c>
    </row>
    <row r="68" spans="2:14" x14ac:dyDescent="0.2">
      <c r="B68" s="15">
        <f>DATE(2026,8,5)</f>
        <v>46239</v>
      </c>
      <c r="C68" s="6" t="s">
        <v>12</v>
      </c>
      <c r="D68" s="12" t="s">
        <v>39</v>
      </c>
      <c r="E68" s="10" t="str">
        <f t="shared" si="1"/>
        <v>Cablu CYY-F 3x2,5</v>
      </c>
      <c r="F68" s="16">
        <v>600</v>
      </c>
      <c r="G68" s="13">
        <v>3.6</v>
      </c>
      <c r="H68" s="6" t="s">
        <v>148</v>
      </c>
      <c r="I68" s="6" t="s">
        <v>42</v>
      </c>
      <c r="J68" s="11">
        <f t="shared" si="2"/>
        <v>1</v>
      </c>
      <c r="K68" s="17">
        <f t="shared" si="3"/>
        <v>600</v>
      </c>
      <c r="L68" s="18">
        <f t="shared" si="4"/>
        <v>2160</v>
      </c>
      <c r="M68" s="18" t="str">
        <f>IF(J68&lt;&gt;-1,"",ROUND(F68*IFERROR(INDEX(Stocuri!$G$5:$G$204,MATCH(D68,Coduri,0)),0),2))</f>
        <v/>
      </c>
      <c r="N68" s="19" t="str">
        <f t="shared" si="5"/>
        <v/>
      </c>
    </row>
    <row r="69" spans="2:14" x14ac:dyDescent="0.2">
      <c r="B69" s="15">
        <f>DATE(2026,8,5)</f>
        <v>46239</v>
      </c>
      <c r="C69" s="6" t="s">
        <v>16</v>
      </c>
      <c r="D69" s="12" t="s">
        <v>44</v>
      </c>
      <c r="E69" s="10" t="str">
        <f t="shared" ref="E69:E132" si="6">IF(D69="","",IFERROR(VLOOKUP(D69,Catalog,2,FALSE),""))</f>
        <v>Tub flexibil PVC 20 mm</v>
      </c>
      <c r="F69" s="16">
        <v>50</v>
      </c>
      <c r="G69" s="13"/>
      <c r="H69" s="6" t="s">
        <v>149</v>
      </c>
      <c r="I69" s="6" t="s">
        <v>145</v>
      </c>
      <c r="J69" s="11">
        <f t="shared" ref="J69:J132" si="7">IF(C69="","",IFERROR(VLOOKUP(C69,TipSemn,2,FALSE),""))</f>
        <v>-1</v>
      </c>
      <c r="K69" s="17">
        <f t="shared" ref="K69:K132" si="8">IF(OR(J69="",F69=""),"",J69*F69)</f>
        <v>-50</v>
      </c>
      <c r="L69" s="18" t="str">
        <f t="shared" ref="L69:L132" si="9">IF(OR(J69&lt;&gt;1,G69=""),"",ROUND(F69*G69,2))</f>
        <v/>
      </c>
      <c r="M69" s="18">
        <f>IF(J69&lt;&gt;-1,"",ROUND(F69*IFERROR(INDEX(Stocuri!$G$5:$G$204,MATCH(D69,Coduri,0)),0),2))</f>
        <v>58.44</v>
      </c>
      <c r="N69" s="19" t="str">
        <f t="shared" ref="N69:N132" si="10">IF(AND(B69="",D69=""),"",TRIM(IF(OR(B69="",C69="",D69="",F69=""),"Date incomplete. ","")&amp;IF(AND(D69&lt;&gt;"",E69=""),"Cod necunoscut. ","")&amp;IF(AND(J69=1,C69&lt;&gt;"Retur de la client",C69&lt;&gt;"Ajustare inventar +",G69=""),"Lipsește prețul de intrare. ","")&amp;IF(AND(J69=-1,D69&lt;&gt;"",SUMIFS($K$5:$K$2004,$D$5:$D$2004,D69,$B$5:$B$2004,"&lt;="&amp;B69)&lt;0),"Stoc insuficient la această dată. ","")&amp;IF(AND(C69&lt;&gt;"Stoc inițial",H69=""),"Lipsește documentul. ","")))</f>
        <v/>
      </c>
    </row>
    <row r="70" spans="2:14" x14ac:dyDescent="0.2">
      <c r="B70" s="15">
        <f>DATE(2026,8,5)</f>
        <v>46239</v>
      </c>
      <c r="C70" s="6" t="s">
        <v>15</v>
      </c>
      <c r="D70" s="12" t="s">
        <v>58</v>
      </c>
      <c r="E70" s="10" t="str">
        <f t="shared" si="6"/>
        <v>Tablou electric 12 module</v>
      </c>
      <c r="F70" s="16">
        <v>1</v>
      </c>
      <c r="G70" s="13"/>
      <c r="H70" s="6" t="s">
        <v>150</v>
      </c>
      <c r="I70" s="6" t="s">
        <v>100</v>
      </c>
      <c r="J70" s="11">
        <f t="shared" si="7"/>
        <v>-1</v>
      </c>
      <c r="K70" s="17">
        <f t="shared" si="8"/>
        <v>-1</v>
      </c>
      <c r="L70" s="18" t="str">
        <f t="shared" si="9"/>
        <v/>
      </c>
      <c r="M70" s="18">
        <f>IF(J70&lt;&gt;-1,"",ROUND(F70*IFERROR(INDEX(Stocuri!$G$5:$G$204,MATCH(D70,Coduri,0)),0),2))</f>
        <v>96.67</v>
      </c>
      <c r="N70" s="19" t="str">
        <f t="shared" si="10"/>
        <v/>
      </c>
    </row>
    <row r="71" spans="2:14" x14ac:dyDescent="0.2">
      <c r="B71" s="15">
        <f>DATE(2026,8,6)</f>
        <v>46240</v>
      </c>
      <c r="C71" s="6" t="s">
        <v>16</v>
      </c>
      <c r="D71" s="12" t="s">
        <v>47</v>
      </c>
      <c r="E71" s="10" t="str">
        <f t="shared" si="6"/>
        <v>Doză aparat îngropată</v>
      </c>
      <c r="F71" s="16">
        <v>50</v>
      </c>
      <c r="G71" s="13"/>
      <c r="H71" s="6" t="s">
        <v>151</v>
      </c>
      <c r="I71" s="6" t="s">
        <v>145</v>
      </c>
      <c r="J71" s="11">
        <f t="shared" si="7"/>
        <v>-1</v>
      </c>
      <c r="K71" s="17">
        <f t="shared" si="8"/>
        <v>-50</v>
      </c>
      <c r="L71" s="18" t="str">
        <f t="shared" si="9"/>
        <v/>
      </c>
      <c r="M71" s="18">
        <f>IF(J71&lt;&gt;-1,"",ROUND(F71*IFERROR(INDEX(Stocuri!$G$5:$G$204,MATCH(D71,Coduri,0)),0),2))</f>
        <v>34.450000000000003</v>
      </c>
      <c r="N71" s="19" t="str">
        <f t="shared" si="10"/>
        <v/>
      </c>
    </row>
    <row r="72" spans="2:14" x14ac:dyDescent="0.2">
      <c r="B72" s="15">
        <f>DATE(2026,8,6)</f>
        <v>46240</v>
      </c>
      <c r="C72" s="6" t="s">
        <v>15</v>
      </c>
      <c r="D72" s="12" t="s">
        <v>61</v>
      </c>
      <c r="E72" s="10" t="str">
        <f t="shared" si="6"/>
        <v>Siguranță automată 16A</v>
      </c>
      <c r="F72" s="16">
        <v>15</v>
      </c>
      <c r="G72" s="13"/>
      <c r="H72" s="6" t="s">
        <v>152</v>
      </c>
      <c r="I72" s="6" t="s">
        <v>98</v>
      </c>
      <c r="J72" s="11">
        <f t="shared" si="7"/>
        <v>-1</v>
      </c>
      <c r="K72" s="17">
        <f t="shared" si="8"/>
        <v>-15</v>
      </c>
      <c r="L72" s="18" t="str">
        <f t="shared" si="9"/>
        <v/>
      </c>
      <c r="M72" s="18">
        <f>IF(J72&lt;&gt;-1,"",ROUND(F72*IFERROR(INDEX(Stocuri!$G$5:$G$204,MATCH(D72,Coduri,0)),0),2))</f>
        <v>226.29</v>
      </c>
      <c r="N72" s="19" t="str">
        <f t="shared" si="10"/>
        <v/>
      </c>
    </row>
    <row r="73" spans="2:14" x14ac:dyDescent="0.2">
      <c r="B73" s="15">
        <f>DATE(2026,8,6)</f>
        <v>46240</v>
      </c>
      <c r="C73" s="6" t="s">
        <v>16</v>
      </c>
      <c r="D73" s="12" t="s">
        <v>74</v>
      </c>
      <c r="E73" s="10" t="str">
        <f t="shared" si="6"/>
        <v>Bandă izolatoare 19 mm</v>
      </c>
      <c r="F73" s="16">
        <v>6</v>
      </c>
      <c r="G73" s="13"/>
      <c r="H73" s="6" t="s">
        <v>153</v>
      </c>
      <c r="I73" s="6" t="s">
        <v>145</v>
      </c>
      <c r="J73" s="11">
        <f t="shared" si="7"/>
        <v>-1</v>
      </c>
      <c r="K73" s="17">
        <f t="shared" si="8"/>
        <v>-6</v>
      </c>
      <c r="L73" s="18" t="str">
        <f t="shared" si="9"/>
        <v/>
      </c>
      <c r="M73" s="18">
        <f>IF(J73&lt;&gt;-1,"",ROUND(F73*IFERROR(INDEX(Stocuri!$G$5:$G$204,MATCH(D73,Coduri,0)),0),2))</f>
        <v>12.6</v>
      </c>
      <c r="N73" s="19" t="str">
        <f t="shared" si="10"/>
        <v/>
      </c>
    </row>
    <row r="74" spans="2:14" x14ac:dyDescent="0.2">
      <c r="B74" s="15">
        <f>DATE(2026,8,10)</f>
        <v>46244</v>
      </c>
      <c r="C74" s="6" t="s">
        <v>12</v>
      </c>
      <c r="D74" s="12" t="s">
        <v>44</v>
      </c>
      <c r="E74" s="10" t="str">
        <f t="shared" si="6"/>
        <v>Tub flexibil PVC 20 mm</v>
      </c>
      <c r="F74" s="16">
        <v>300</v>
      </c>
      <c r="G74" s="13">
        <v>1.2</v>
      </c>
      <c r="H74" s="6" t="s">
        <v>154</v>
      </c>
      <c r="I74" s="6" t="s">
        <v>42</v>
      </c>
      <c r="J74" s="11">
        <f t="shared" si="7"/>
        <v>1</v>
      </c>
      <c r="K74" s="17">
        <f t="shared" si="8"/>
        <v>300</v>
      </c>
      <c r="L74" s="18">
        <f t="shared" si="9"/>
        <v>360</v>
      </c>
      <c r="M74" s="18" t="str">
        <f>IF(J74&lt;&gt;-1,"",ROUND(F74*IFERROR(INDEX(Stocuri!$G$5:$G$204,MATCH(D74,Coduri,0)),0),2))</f>
        <v/>
      </c>
      <c r="N74" s="19" t="str">
        <f t="shared" si="10"/>
        <v/>
      </c>
    </row>
    <row r="75" spans="2:14" x14ac:dyDescent="0.2">
      <c r="B75" s="15">
        <f>DATE(2026,8,10)</f>
        <v>46244</v>
      </c>
      <c r="C75" s="6" t="s">
        <v>15</v>
      </c>
      <c r="D75" s="12" t="s">
        <v>51</v>
      </c>
      <c r="E75" s="10" t="str">
        <f t="shared" si="6"/>
        <v>Întrerupător simplu Schneider Sedna</v>
      </c>
      <c r="F75" s="16">
        <v>9</v>
      </c>
      <c r="G75" s="13"/>
      <c r="H75" s="6" t="s">
        <v>155</v>
      </c>
      <c r="I75" s="6" t="s">
        <v>92</v>
      </c>
      <c r="J75" s="11">
        <f t="shared" si="7"/>
        <v>-1</v>
      </c>
      <c r="K75" s="17">
        <f t="shared" si="8"/>
        <v>-9</v>
      </c>
      <c r="L75" s="18" t="str">
        <f t="shared" si="9"/>
        <v/>
      </c>
      <c r="M75" s="18">
        <f>IF(J75&lt;&gt;-1,"",ROUND(F75*IFERROR(INDEX(Stocuri!$G$5:$G$204,MATCH(D75,Coduri,0)),0),2))</f>
        <v>87.12</v>
      </c>
      <c r="N75" s="19" t="str">
        <f t="shared" si="10"/>
        <v/>
      </c>
    </row>
    <row r="76" spans="2:14" x14ac:dyDescent="0.2">
      <c r="B76" s="15">
        <f>DATE(2026,8,10)</f>
        <v>46244</v>
      </c>
      <c r="C76" s="6" t="s">
        <v>15</v>
      </c>
      <c r="D76" s="12" t="s">
        <v>64</v>
      </c>
      <c r="E76" s="10" t="str">
        <f t="shared" si="6"/>
        <v>Corp iluminat LED 36W</v>
      </c>
      <c r="F76" s="16">
        <v>6</v>
      </c>
      <c r="G76" s="13"/>
      <c r="H76" s="6" t="s">
        <v>156</v>
      </c>
      <c r="I76" s="6" t="s">
        <v>94</v>
      </c>
      <c r="J76" s="11">
        <f t="shared" si="7"/>
        <v>-1</v>
      </c>
      <c r="K76" s="17">
        <f t="shared" si="8"/>
        <v>-6</v>
      </c>
      <c r="L76" s="18" t="str">
        <f t="shared" si="9"/>
        <v/>
      </c>
      <c r="M76" s="18">
        <f>IF(J76&lt;&gt;-1,"",ROUND(F76*IFERROR(INDEX(Stocuri!$G$5:$G$204,MATCH(D76,Coduri,0)),0),2))</f>
        <v>368.4</v>
      </c>
      <c r="N76" s="19" t="str">
        <f t="shared" si="10"/>
        <v/>
      </c>
    </row>
    <row r="77" spans="2:14" x14ac:dyDescent="0.2">
      <c r="B77" s="15">
        <f>DATE(2026,8,10)</f>
        <v>46244</v>
      </c>
      <c r="C77" s="6" t="s">
        <v>15</v>
      </c>
      <c r="D77" s="12" t="s">
        <v>77</v>
      </c>
      <c r="E77" s="10" t="str">
        <f t="shared" si="6"/>
        <v>Cablu MYF 1,5 mm</v>
      </c>
      <c r="F77" s="16">
        <v>50</v>
      </c>
      <c r="G77" s="13"/>
      <c r="H77" s="6" t="s">
        <v>157</v>
      </c>
      <c r="I77" s="6" t="s">
        <v>96</v>
      </c>
      <c r="J77" s="11">
        <f t="shared" si="7"/>
        <v>-1</v>
      </c>
      <c r="K77" s="17">
        <f t="shared" si="8"/>
        <v>-50</v>
      </c>
      <c r="L77" s="18" t="str">
        <f t="shared" si="9"/>
        <v/>
      </c>
      <c r="M77" s="18">
        <f>IF(J77&lt;&gt;-1,"",ROUND(F77*IFERROR(INDEX(Stocuri!$G$5:$G$204,MATCH(D77,Coduri,0)),0),2))</f>
        <v>53.57</v>
      </c>
      <c r="N77" s="19" t="str">
        <f t="shared" si="10"/>
        <v/>
      </c>
    </row>
    <row r="78" spans="2:14" x14ac:dyDescent="0.2">
      <c r="B78" s="15">
        <f>DATE(2026,8,11)</f>
        <v>46245</v>
      </c>
      <c r="C78" s="6" t="s">
        <v>15</v>
      </c>
      <c r="D78" s="12" t="s">
        <v>39</v>
      </c>
      <c r="E78" s="10" t="str">
        <f t="shared" si="6"/>
        <v>Cablu CYY-F 3x2,5</v>
      </c>
      <c r="F78" s="16">
        <v>110</v>
      </c>
      <c r="G78" s="13"/>
      <c r="H78" s="6" t="s">
        <v>158</v>
      </c>
      <c r="I78" s="6" t="s">
        <v>98</v>
      </c>
      <c r="J78" s="11">
        <f t="shared" si="7"/>
        <v>-1</v>
      </c>
      <c r="K78" s="17">
        <f t="shared" si="8"/>
        <v>-110</v>
      </c>
      <c r="L78" s="18" t="str">
        <f t="shared" si="9"/>
        <v/>
      </c>
      <c r="M78" s="18">
        <f>IF(J78&lt;&gt;-1,"",ROUND(F78*IFERROR(INDEX(Stocuri!$G$5:$G$204,MATCH(D78,Coduri,0)),0),2))</f>
        <v>394.9</v>
      </c>
      <c r="N78" s="19" t="str">
        <f t="shared" si="10"/>
        <v/>
      </c>
    </row>
    <row r="79" spans="2:14" x14ac:dyDescent="0.2">
      <c r="B79" s="15">
        <f>DATE(2026,8,11)</f>
        <v>46245</v>
      </c>
      <c r="C79" s="6" t="s">
        <v>15</v>
      </c>
      <c r="D79" s="12" t="s">
        <v>55</v>
      </c>
      <c r="E79" s="10" t="str">
        <f t="shared" si="6"/>
        <v>Priză dublă cu împământare</v>
      </c>
      <c r="F79" s="16">
        <v>5</v>
      </c>
      <c r="G79" s="13"/>
      <c r="H79" s="6" t="s">
        <v>159</v>
      </c>
      <c r="I79" s="6" t="s">
        <v>100</v>
      </c>
      <c r="J79" s="11">
        <f t="shared" si="7"/>
        <v>-1</v>
      </c>
      <c r="K79" s="17">
        <f t="shared" si="8"/>
        <v>-5</v>
      </c>
      <c r="L79" s="18" t="str">
        <f t="shared" si="9"/>
        <v/>
      </c>
      <c r="M79" s="18">
        <f>IF(J79&lt;&gt;-1,"",ROUND(F79*IFERROR(INDEX(Stocuri!$G$5:$G$204,MATCH(D79,Coduri,0)),0),2))</f>
        <v>63.5</v>
      </c>
      <c r="N79" s="19" t="str">
        <f t="shared" si="10"/>
        <v/>
      </c>
    </row>
    <row r="80" spans="2:14" x14ac:dyDescent="0.2">
      <c r="B80" s="15">
        <f>DATE(2026,8,11)</f>
        <v>46245</v>
      </c>
      <c r="C80" s="6" t="s">
        <v>15</v>
      </c>
      <c r="D80" s="12" t="s">
        <v>68</v>
      </c>
      <c r="E80" s="10" t="str">
        <f t="shared" si="6"/>
        <v>Bec LED E27 9W</v>
      </c>
      <c r="F80" s="16">
        <v>10</v>
      </c>
      <c r="G80" s="13"/>
      <c r="H80" s="6" t="s">
        <v>160</v>
      </c>
      <c r="I80" s="6" t="s">
        <v>92</v>
      </c>
      <c r="J80" s="11">
        <f t="shared" si="7"/>
        <v>-1</v>
      </c>
      <c r="K80" s="17">
        <f t="shared" si="8"/>
        <v>-10</v>
      </c>
      <c r="L80" s="18" t="str">
        <f t="shared" si="9"/>
        <v/>
      </c>
      <c r="M80" s="18">
        <f>IF(J80&lt;&gt;-1,"",ROUND(F80*IFERROR(INDEX(Stocuri!$G$5:$G$204,MATCH(D80,Coduri,0)),0),2))</f>
        <v>64.569999999999993</v>
      </c>
      <c r="N80" s="19" t="str">
        <f t="shared" si="10"/>
        <v/>
      </c>
    </row>
    <row r="81" spans="2:14" x14ac:dyDescent="0.2">
      <c r="B81" s="15">
        <f>DATE(2026,8,12)</f>
        <v>46246</v>
      </c>
      <c r="C81" s="6" t="s">
        <v>15</v>
      </c>
      <c r="D81" s="12" t="s">
        <v>44</v>
      </c>
      <c r="E81" s="10" t="str">
        <f t="shared" si="6"/>
        <v>Tub flexibil PVC 20 mm</v>
      </c>
      <c r="F81" s="16">
        <v>50</v>
      </c>
      <c r="G81" s="13"/>
      <c r="H81" s="6" t="s">
        <v>161</v>
      </c>
      <c r="I81" s="6" t="s">
        <v>96</v>
      </c>
      <c r="J81" s="11">
        <f t="shared" si="7"/>
        <v>-1</v>
      </c>
      <c r="K81" s="17">
        <f t="shared" si="8"/>
        <v>-50</v>
      </c>
      <c r="L81" s="18" t="str">
        <f t="shared" si="9"/>
        <v/>
      </c>
      <c r="M81" s="18">
        <f>IF(J81&lt;&gt;-1,"",ROUND(F81*IFERROR(INDEX(Stocuri!$G$5:$G$204,MATCH(D81,Coduri,0)),0),2))</f>
        <v>58.44</v>
      </c>
      <c r="N81" s="19" t="str">
        <f t="shared" si="10"/>
        <v/>
      </c>
    </row>
    <row r="82" spans="2:14" x14ac:dyDescent="0.2">
      <c r="B82" s="15">
        <f>DATE(2026,8,12)</f>
        <v>46246</v>
      </c>
      <c r="C82" s="6" t="s">
        <v>15</v>
      </c>
      <c r="D82" s="12" t="s">
        <v>58</v>
      </c>
      <c r="E82" s="10" t="str">
        <f t="shared" si="6"/>
        <v>Tablou electric 12 module</v>
      </c>
      <c r="F82" s="16">
        <v>2</v>
      </c>
      <c r="G82" s="13"/>
      <c r="H82" s="6" t="s">
        <v>162</v>
      </c>
      <c r="I82" s="6" t="s">
        <v>98</v>
      </c>
      <c r="J82" s="11">
        <f t="shared" si="7"/>
        <v>-1</v>
      </c>
      <c r="K82" s="17">
        <f t="shared" si="8"/>
        <v>-2</v>
      </c>
      <c r="L82" s="18" t="str">
        <f t="shared" si="9"/>
        <v/>
      </c>
      <c r="M82" s="18">
        <f>IF(J82&lt;&gt;-1,"",ROUND(F82*IFERROR(INDEX(Stocuri!$G$5:$G$204,MATCH(D82,Coduri,0)),0),2))</f>
        <v>193.33</v>
      </c>
      <c r="N82" s="19" t="str">
        <f t="shared" si="10"/>
        <v/>
      </c>
    </row>
    <row r="83" spans="2:14" x14ac:dyDescent="0.2">
      <c r="B83" s="15">
        <f>DATE(2026,8,13)</f>
        <v>46247</v>
      </c>
      <c r="C83" s="6" t="s">
        <v>15</v>
      </c>
      <c r="D83" s="12" t="s">
        <v>47</v>
      </c>
      <c r="E83" s="10" t="str">
        <f t="shared" si="6"/>
        <v>Doză aparat îngropată</v>
      </c>
      <c r="F83" s="16">
        <v>50</v>
      </c>
      <c r="G83" s="13"/>
      <c r="H83" s="6" t="s">
        <v>163</v>
      </c>
      <c r="I83" s="6" t="s">
        <v>94</v>
      </c>
      <c r="J83" s="11">
        <f t="shared" si="7"/>
        <v>-1</v>
      </c>
      <c r="K83" s="17">
        <f t="shared" si="8"/>
        <v>-50</v>
      </c>
      <c r="L83" s="18" t="str">
        <f t="shared" si="9"/>
        <v/>
      </c>
      <c r="M83" s="18">
        <f>IF(J83&lt;&gt;-1,"",ROUND(F83*IFERROR(INDEX(Stocuri!$G$5:$G$204,MATCH(D83,Coduri,0)),0),2))</f>
        <v>34.450000000000003</v>
      </c>
      <c r="N83" s="19" t="str">
        <f t="shared" si="10"/>
        <v/>
      </c>
    </row>
    <row r="84" spans="2:14" x14ac:dyDescent="0.2">
      <c r="B84" s="15">
        <f>DATE(2026,8,13)</f>
        <v>46247</v>
      </c>
      <c r="C84" s="6" t="s">
        <v>15</v>
      </c>
      <c r="D84" s="12" t="s">
        <v>61</v>
      </c>
      <c r="E84" s="10" t="str">
        <f t="shared" si="6"/>
        <v>Siguranță automată 16A</v>
      </c>
      <c r="F84" s="16">
        <v>15</v>
      </c>
      <c r="G84" s="13"/>
      <c r="H84" s="6" t="s">
        <v>164</v>
      </c>
      <c r="I84" s="6" t="s">
        <v>96</v>
      </c>
      <c r="J84" s="11">
        <f t="shared" si="7"/>
        <v>-1</v>
      </c>
      <c r="K84" s="17">
        <f t="shared" si="8"/>
        <v>-15</v>
      </c>
      <c r="L84" s="18" t="str">
        <f t="shared" si="9"/>
        <v/>
      </c>
      <c r="M84" s="18">
        <f>IF(J84&lt;&gt;-1,"",ROUND(F84*IFERROR(INDEX(Stocuri!$G$5:$G$204,MATCH(D84,Coduri,0)),0),2))</f>
        <v>226.29</v>
      </c>
      <c r="N84" s="19" t="str">
        <f t="shared" si="10"/>
        <v/>
      </c>
    </row>
    <row r="85" spans="2:14" x14ac:dyDescent="0.2">
      <c r="B85" s="15">
        <f>DATE(2026,8,13)</f>
        <v>46247</v>
      </c>
      <c r="C85" s="6" t="s">
        <v>15</v>
      </c>
      <c r="D85" s="12" t="s">
        <v>74</v>
      </c>
      <c r="E85" s="10" t="str">
        <f t="shared" si="6"/>
        <v>Bandă izolatoare 19 mm</v>
      </c>
      <c r="F85" s="16">
        <v>6</v>
      </c>
      <c r="G85" s="13"/>
      <c r="H85" s="6" t="s">
        <v>165</v>
      </c>
      <c r="I85" s="6" t="s">
        <v>98</v>
      </c>
      <c r="J85" s="11">
        <f t="shared" si="7"/>
        <v>-1</v>
      </c>
      <c r="K85" s="17">
        <f t="shared" si="8"/>
        <v>-6</v>
      </c>
      <c r="L85" s="18" t="str">
        <f t="shared" si="9"/>
        <v/>
      </c>
      <c r="M85" s="18">
        <f>IF(J85&lt;&gt;-1,"",ROUND(F85*IFERROR(INDEX(Stocuri!$G$5:$G$204,MATCH(D85,Coduri,0)),0),2))</f>
        <v>12.6</v>
      </c>
      <c r="N85" s="19" t="str">
        <f t="shared" si="10"/>
        <v/>
      </c>
    </row>
    <row r="86" spans="2:14" x14ac:dyDescent="0.2">
      <c r="B86" s="15">
        <f>DATE(2026,8,15)</f>
        <v>46249</v>
      </c>
      <c r="C86" s="6" t="s">
        <v>12</v>
      </c>
      <c r="D86" s="12" t="s">
        <v>77</v>
      </c>
      <c r="E86" s="10" t="str">
        <f t="shared" si="6"/>
        <v>Cablu MYF 1,5 mm</v>
      </c>
      <c r="F86" s="16">
        <v>300</v>
      </c>
      <c r="G86" s="13">
        <v>1.1000000000000001</v>
      </c>
      <c r="H86" s="6" t="s">
        <v>166</v>
      </c>
      <c r="I86" s="6" t="s">
        <v>42</v>
      </c>
      <c r="J86" s="11">
        <f t="shared" si="7"/>
        <v>1</v>
      </c>
      <c r="K86" s="17">
        <f t="shared" si="8"/>
        <v>300</v>
      </c>
      <c r="L86" s="18">
        <f t="shared" si="9"/>
        <v>330</v>
      </c>
      <c r="M86" s="18" t="str">
        <f>IF(J86&lt;&gt;-1,"",ROUND(F86*IFERROR(INDEX(Stocuri!$G$5:$G$204,MATCH(D86,Coduri,0)),0),2))</f>
        <v/>
      </c>
      <c r="N86" s="19" t="str">
        <f t="shared" si="10"/>
        <v/>
      </c>
    </row>
    <row r="87" spans="2:14" x14ac:dyDescent="0.2">
      <c r="B87" s="15">
        <f>DATE(2026,8,17)</f>
        <v>46251</v>
      </c>
      <c r="C87" s="6" t="s">
        <v>15</v>
      </c>
      <c r="D87" s="12" t="s">
        <v>51</v>
      </c>
      <c r="E87" s="10" t="str">
        <f t="shared" si="6"/>
        <v>Întrerupător simplu Schneider Sedna</v>
      </c>
      <c r="F87" s="16">
        <v>9</v>
      </c>
      <c r="G87" s="13"/>
      <c r="H87" s="6" t="s">
        <v>167</v>
      </c>
      <c r="I87" s="6" t="s">
        <v>100</v>
      </c>
      <c r="J87" s="11">
        <f t="shared" si="7"/>
        <v>-1</v>
      </c>
      <c r="K87" s="17">
        <f t="shared" si="8"/>
        <v>-9</v>
      </c>
      <c r="L87" s="18" t="str">
        <f t="shared" si="9"/>
        <v/>
      </c>
      <c r="M87" s="18">
        <f>IF(J87&lt;&gt;-1,"",ROUND(F87*IFERROR(INDEX(Stocuri!$G$5:$G$204,MATCH(D87,Coduri,0)),0),2))</f>
        <v>87.12</v>
      </c>
      <c r="N87" s="19" t="str">
        <f t="shared" si="10"/>
        <v/>
      </c>
    </row>
    <row r="88" spans="2:14" x14ac:dyDescent="0.2">
      <c r="B88" s="15">
        <f>DATE(2026,8,17)</f>
        <v>46251</v>
      </c>
      <c r="C88" s="6" t="s">
        <v>15</v>
      </c>
      <c r="D88" s="12" t="s">
        <v>64</v>
      </c>
      <c r="E88" s="10" t="str">
        <f t="shared" si="6"/>
        <v>Corp iluminat LED 36W</v>
      </c>
      <c r="F88" s="16">
        <v>6</v>
      </c>
      <c r="G88" s="13"/>
      <c r="H88" s="6" t="s">
        <v>168</v>
      </c>
      <c r="I88" s="6" t="s">
        <v>92</v>
      </c>
      <c r="J88" s="11">
        <f t="shared" si="7"/>
        <v>-1</v>
      </c>
      <c r="K88" s="17">
        <f t="shared" si="8"/>
        <v>-6</v>
      </c>
      <c r="L88" s="18" t="str">
        <f t="shared" si="9"/>
        <v/>
      </c>
      <c r="M88" s="18">
        <f>IF(J88&lt;&gt;-1,"",ROUND(F88*IFERROR(INDEX(Stocuri!$G$5:$G$204,MATCH(D88,Coduri,0)),0),2))</f>
        <v>368.4</v>
      </c>
      <c r="N88" s="19" t="str">
        <f t="shared" si="10"/>
        <v/>
      </c>
    </row>
    <row r="89" spans="2:14" x14ac:dyDescent="0.2">
      <c r="B89" s="15">
        <f>DATE(2026,8,17)</f>
        <v>46251</v>
      </c>
      <c r="C89" s="6" t="s">
        <v>15</v>
      </c>
      <c r="D89" s="12" t="s">
        <v>77</v>
      </c>
      <c r="E89" s="10" t="str">
        <f t="shared" si="6"/>
        <v>Cablu MYF 1,5 mm</v>
      </c>
      <c r="F89" s="16">
        <v>50</v>
      </c>
      <c r="G89" s="13"/>
      <c r="H89" s="6" t="s">
        <v>169</v>
      </c>
      <c r="I89" s="6" t="s">
        <v>94</v>
      </c>
      <c r="J89" s="11">
        <f t="shared" si="7"/>
        <v>-1</v>
      </c>
      <c r="K89" s="17">
        <f t="shared" si="8"/>
        <v>-50</v>
      </c>
      <c r="L89" s="18" t="str">
        <f t="shared" si="9"/>
        <v/>
      </c>
      <c r="M89" s="18">
        <f>IF(J89&lt;&gt;-1,"",ROUND(F89*IFERROR(INDEX(Stocuri!$G$5:$G$204,MATCH(D89,Coduri,0)),0),2))</f>
        <v>53.57</v>
      </c>
      <c r="N89" s="19" t="str">
        <f t="shared" si="10"/>
        <v/>
      </c>
    </row>
    <row r="90" spans="2:14" x14ac:dyDescent="0.2">
      <c r="B90" s="15">
        <f>DATE(2026,8,18)</f>
        <v>46252</v>
      </c>
      <c r="C90" s="6" t="s">
        <v>15</v>
      </c>
      <c r="D90" s="12" t="s">
        <v>39</v>
      </c>
      <c r="E90" s="10" t="str">
        <f t="shared" si="6"/>
        <v>Cablu CYY-F 3x2,5</v>
      </c>
      <c r="F90" s="16">
        <v>110</v>
      </c>
      <c r="G90" s="13"/>
      <c r="H90" s="6" t="s">
        <v>170</v>
      </c>
      <c r="I90" s="6" t="s">
        <v>96</v>
      </c>
      <c r="J90" s="11">
        <f t="shared" si="7"/>
        <v>-1</v>
      </c>
      <c r="K90" s="17">
        <f t="shared" si="8"/>
        <v>-110</v>
      </c>
      <c r="L90" s="18" t="str">
        <f t="shared" si="9"/>
        <v/>
      </c>
      <c r="M90" s="18">
        <f>IF(J90&lt;&gt;-1,"",ROUND(F90*IFERROR(INDEX(Stocuri!$G$5:$G$204,MATCH(D90,Coduri,0)),0),2))</f>
        <v>394.9</v>
      </c>
      <c r="N90" s="19" t="str">
        <f t="shared" si="10"/>
        <v/>
      </c>
    </row>
    <row r="91" spans="2:14" x14ac:dyDescent="0.2">
      <c r="B91" s="15">
        <f>DATE(2026,8,18)</f>
        <v>46252</v>
      </c>
      <c r="C91" s="6" t="s">
        <v>15</v>
      </c>
      <c r="D91" s="12" t="s">
        <v>55</v>
      </c>
      <c r="E91" s="10" t="str">
        <f t="shared" si="6"/>
        <v>Priză dublă cu împământare</v>
      </c>
      <c r="F91" s="16">
        <v>5</v>
      </c>
      <c r="G91" s="13"/>
      <c r="H91" s="6" t="s">
        <v>171</v>
      </c>
      <c r="I91" s="6" t="s">
        <v>98</v>
      </c>
      <c r="J91" s="11">
        <f t="shared" si="7"/>
        <v>-1</v>
      </c>
      <c r="K91" s="17">
        <f t="shared" si="8"/>
        <v>-5</v>
      </c>
      <c r="L91" s="18" t="str">
        <f t="shared" si="9"/>
        <v/>
      </c>
      <c r="M91" s="18">
        <f>IF(J91&lt;&gt;-1,"",ROUND(F91*IFERROR(INDEX(Stocuri!$G$5:$G$204,MATCH(D91,Coduri,0)),0),2))</f>
        <v>63.5</v>
      </c>
      <c r="N91" s="19" t="str">
        <f t="shared" si="10"/>
        <v/>
      </c>
    </row>
    <row r="92" spans="2:14" x14ac:dyDescent="0.2">
      <c r="B92" s="15">
        <f>DATE(2026,8,18)</f>
        <v>46252</v>
      </c>
      <c r="C92" s="6" t="s">
        <v>15</v>
      </c>
      <c r="D92" s="12" t="s">
        <v>68</v>
      </c>
      <c r="E92" s="10" t="str">
        <f t="shared" si="6"/>
        <v>Bec LED E27 9W</v>
      </c>
      <c r="F92" s="16">
        <v>10</v>
      </c>
      <c r="G92" s="13"/>
      <c r="H92" s="6" t="s">
        <v>172</v>
      </c>
      <c r="I92" s="6" t="s">
        <v>100</v>
      </c>
      <c r="J92" s="11">
        <f t="shared" si="7"/>
        <v>-1</v>
      </c>
      <c r="K92" s="17">
        <f t="shared" si="8"/>
        <v>-10</v>
      </c>
      <c r="L92" s="18" t="str">
        <f t="shared" si="9"/>
        <v/>
      </c>
      <c r="M92" s="18">
        <f>IF(J92&lt;&gt;-1,"",ROUND(F92*IFERROR(INDEX(Stocuri!$G$5:$G$204,MATCH(D92,Coduri,0)),0),2))</f>
        <v>64.569999999999993</v>
      </c>
      <c r="N92" s="19" t="str">
        <f t="shared" si="10"/>
        <v/>
      </c>
    </row>
    <row r="93" spans="2:14" x14ac:dyDescent="0.2">
      <c r="B93" s="15">
        <f>DATE(2026,8,19)</f>
        <v>46253</v>
      </c>
      <c r="C93" s="6" t="s">
        <v>15</v>
      </c>
      <c r="D93" s="12" t="s">
        <v>44</v>
      </c>
      <c r="E93" s="10" t="str">
        <f t="shared" si="6"/>
        <v>Tub flexibil PVC 20 mm</v>
      </c>
      <c r="F93" s="16">
        <v>50</v>
      </c>
      <c r="G93" s="13"/>
      <c r="H93" s="6" t="s">
        <v>173</v>
      </c>
      <c r="I93" s="6" t="s">
        <v>94</v>
      </c>
      <c r="J93" s="11">
        <f t="shared" si="7"/>
        <v>-1</v>
      </c>
      <c r="K93" s="17">
        <f t="shared" si="8"/>
        <v>-50</v>
      </c>
      <c r="L93" s="18" t="str">
        <f t="shared" si="9"/>
        <v/>
      </c>
      <c r="M93" s="18">
        <f>IF(J93&lt;&gt;-1,"",ROUND(F93*IFERROR(INDEX(Stocuri!$G$5:$G$204,MATCH(D93,Coduri,0)),0),2))</f>
        <v>58.44</v>
      </c>
      <c r="N93" s="19" t="str">
        <f t="shared" si="10"/>
        <v/>
      </c>
    </row>
    <row r="94" spans="2:14" x14ac:dyDescent="0.2">
      <c r="B94" s="15">
        <f>DATE(2026,8,19)</f>
        <v>46253</v>
      </c>
      <c r="C94" s="6" t="s">
        <v>15</v>
      </c>
      <c r="D94" s="12" t="s">
        <v>58</v>
      </c>
      <c r="E94" s="10" t="str">
        <f t="shared" si="6"/>
        <v>Tablou electric 12 module</v>
      </c>
      <c r="F94" s="16">
        <v>1</v>
      </c>
      <c r="G94" s="13"/>
      <c r="H94" s="6" t="s">
        <v>174</v>
      </c>
      <c r="I94" s="6" t="s">
        <v>96</v>
      </c>
      <c r="J94" s="11">
        <f t="shared" si="7"/>
        <v>-1</v>
      </c>
      <c r="K94" s="17">
        <f t="shared" si="8"/>
        <v>-1</v>
      </c>
      <c r="L94" s="18" t="str">
        <f t="shared" si="9"/>
        <v/>
      </c>
      <c r="M94" s="18">
        <f>IF(J94&lt;&gt;-1,"",ROUND(F94*IFERROR(INDEX(Stocuri!$G$5:$G$204,MATCH(D94,Coduri,0)),0),2))</f>
        <v>96.67</v>
      </c>
      <c r="N94" s="19" t="str">
        <f t="shared" si="10"/>
        <v/>
      </c>
    </row>
    <row r="95" spans="2:14" x14ac:dyDescent="0.2">
      <c r="B95" s="15">
        <f>DATE(2026,8,20)</f>
        <v>46254</v>
      </c>
      <c r="C95" s="6" t="s">
        <v>15</v>
      </c>
      <c r="D95" s="12" t="s">
        <v>47</v>
      </c>
      <c r="E95" s="10" t="str">
        <f t="shared" si="6"/>
        <v>Doză aparat îngropată</v>
      </c>
      <c r="F95" s="16">
        <v>50</v>
      </c>
      <c r="G95" s="13"/>
      <c r="H95" s="6" t="s">
        <v>175</v>
      </c>
      <c r="I95" s="6" t="s">
        <v>92</v>
      </c>
      <c r="J95" s="11">
        <f t="shared" si="7"/>
        <v>-1</v>
      </c>
      <c r="K95" s="17">
        <f t="shared" si="8"/>
        <v>-50</v>
      </c>
      <c r="L95" s="18" t="str">
        <f t="shared" si="9"/>
        <v/>
      </c>
      <c r="M95" s="18">
        <f>IF(J95&lt;&gt;-1,"",ROUND(F95*IFERROR(INDEX(Stocuri!$G$5:$G$204,MATCH(D95,Coduri,0)),0),2))</f>
        <v>34.450000000000003</v>
      </c>
      <c r="N95" s="19" t="str">
        <f t="shared" si="10"/>
        <v/>
      </c>
    </row>
    <row r="96" spans="2:14" x14ac:dyDescent="0.2">
      <c r="B96" s="15">
        <f>DATE(2026,8,20)</f>
        <v>46254</v>
      </c>
      <c r="C96" s="6" t="s">
        <v>15</v>
      </c>
      <c r="D96" s="12" t="s">
        <v>61</v>
      </c>
      <c r="E96" s="10" t="str">
        <f t="shared" si="6"/>
        <v>Siguranță automată 16A</v>
      </c>
      <c r="F96" s="16">
        <v>15</v>
      </c>
      <c r="G96" s="13"/>
      <c r="H96" s="6" t="s">
        <v>176</v>
      </c>
      <c r="I96" s="6" t="s">
        <v>94</v>
      </c>
      <c r="J96" s="11">
        <f t="shared" si="7"/>
        <v>-1</v>
      </c>
      <c r="K96" s="17">
        <f t="shared" si="8"/>
        <v>-15</v>
      </c>
      <c r="L96" s="18" t="str">
        <f t="shared" si="9"/>
        <v/>
      </c>
      <c r="M96" s="18">
        <f>IF(J96&lt;&gt;-1,"",ROUND(F96*IFERROR(INDEX(Stocuri!$G$5:$G$204,MATCH(D96,Coduri,0)),0),2))</f>
        <v>226.29</v>
      </c>
      <c r="N96" s="19" t="str">
        <f t="shared" si="10"/>
        <v/>
      </c>
    </row>
    <row r="97" spans="2:14" x14ac:dyDescent="0.2">
      <c r="B97" s="15">
        <f>DATE(2026,8,20)</f>
        <v>46254</v>
      </c>
      <c r="C97" s="6" t="s">
        <v>12</v>
      </c>
      <c r="D97" s="12" t="s">
        <v>68</v>
      </c>
      <c r="E97" s="10" t="str">
        <f t="shared" si="6"/>
        <v>Bec LED E27 9W</v>
      </c>
      <c r="F97" s="16">
        <v>400</v>
      </c>
      <c r="G97" s="13">
        <v>6.5</v>
      </c>
      <c r="H97" s="6" t="s">
        <v>177</v>
      </c>
      <c r="I97" s="6" t="s">
        <v>66</v>
      </c>
      <c r="J97" s="11">
        <f t="shared" si="7"/>
        <v>1</v>
      </c>
      <c r="K97" s="17">
        <f t="shared" si="8"/>
        <v>400</v>
      </c>
      <c r="L97" s="18">
        <f t="shared" si="9"/>
        <v>2600</v>
      </c>
      <c r="M97" s="18" t="str">
        <f>IF(J97&lt;&gt;-1,"",ROUND(F97*IFERROR(INDEX(Stocuri!$G$5:$G$204,MATCH(D97,Coduri,0)),0),2))</f>
        <v/>
      </c>
      <c r="N97" s="19" t="str">
        <f t="shared" si="10"/>
        <v/>
      </c>
    </row>
    <row r="98" spans="2:14" x14ac:dyDescent="0.2">
      <c r="B98" s="15">
        <f>DATE(2026,8,20)</f>
        <v>46254</v>
      </c>
      <c r="C98" s="6" t="s">
        <v>15</v>
      </c>
      <c r="D98" s="12" t="s">
        <v>74</v>
      </c>
      <c r="E98" s="10" t="str">
        <f t="shared" si="6"/>
        <v>Bandă izolatoare 19 mm</v>
      </c>
      <c r="F98" s="16">
        <v>6</v>
      </c>
      <c r="G98" s="13"/>
      <c r="H98" s="6" t="s">
        <v>178</v>
      </c>
      <c r="I98" s="6" t="s">
        <v>96</v>
      </c>
      <c r="J98" s="11">
        <f t="shared" si="7"/>
        <v>-1</v>
      </c>
      <c r="K98" s="17">
        <f t="shared" si="8"/>
        <v>-6</v>
      </c>
      <c r="L98" s="18" t="str">
        <f t="shared" si="9"/>
        <v/>
      </c>
      <c r="M98" s="18">
        <f>IF(J98&lt;&gt;-1,"",ROUND(F98*IFERROR(INDEX(Stocuri!$G$5:$G$204,MATCH(D98,Coduri,0)),0),2))</f>
        <v>12.6</v>
      </c>
      <c r="N98" s="19" t="str">
        <f t="shared" si="10"/>
        <v/>
      </c>
    </row>
    <row r="99" spans="2:14" x14ac:dyDescent="0.2">
      <c r="B99" s="15">
        <f>DATE(2026,8,24)</f>
        <v>46258</v>
      </c>
      <c r="C99" s="6" t="s">
        <v>15</v>
      </c>
      <c r="D99" s="12" t="s">
        <v>51</v>
      </c>
      <c r="E99" s="10" t="str">
        <f t="shared" si="6"/>
        <v>Întrerupător simplu Schneider Sedna</v>
      </c>
      <c r="F99" s="16">
        <v>9</v>
      </c>
      <c r="G99" s="13"/>
      <c r="H99" s="6" t="s">
        <v>179</v>
      </c>
      <c r="I99" s="6" t="s">
        <v>98</v>
      </c>
      <c r="J99" s="11">
        <f t="shared" si="7"/>
        <v>-1</v>
      </c>
      <c r="K99" s="17">
        <f t="shared" si="8"/>
        <v>-9</v>
      </c>
      <c r="L99" s="18" t="str">
        <f t="shared" si="9"/>
        <v/>
      </c>
      <c r="M99" s="18">
        <f>IF(J99&lt;&gt;-1,"",ROUND(F99*IFERROR(INDEX(Stocuri!$G$5:$G$204,MATCH(D99,Coduri,0)),0),2))</f>
        <v>87.12</v>
      </c>
      <c r="N99" s="19" t="str">
        <f t="shared" si="10"/>
        <v/>
      </c>
    </row>
    <row r="100" spans="2:14" x14ac:dyDescent="0.2">
      <c r="B100" s="15">
        <f>DATE(2026,8,24)</f>
        <v>46258</v>
      </c>
      <c r="C100" s="6" t="s">
        <v>15</v>
      </c>
      <c r="D100" s="12" t="s">
        <v>64</v>
      </c>
      <c r="E100" s="10" t="str">
        <f t="shared" si="6"/>
        <v>Corp iluminat LED 36W</v>
      </c>
      <c r="F100" s="16">
        <v>6</v>
      </c>
      <c r="G100" s="13"/>
      <c r="H100" s="6" t="s">
        <v>180</v>
      </c>
      <c r="I100" s="6" t="s">
        <v>100</v>
      </c>
      <c r="J100" s="11">
        <f t="shared" si="7"/>
        <v>-1</v>
      </c>
      <c r="K100" s="17">
        <f t="shared" si="8"/>
        <v>-6</v>
      </c>
      <c r="L100" s="18" t="str">
        <f t="shared" si="9"/>
        <v/>
      </c>
      <c r="M100" s="18">
        <f>IF(J100&lt;&gt;-1,"",ROUND(F100*IFERROR(INDEX(Stocuri!$G$5:$G$204,MATCH(D100,Coduri,0)),0),2))</f>
        <v>368.4</v>
      </c>
      <c r="N100" s="19" t="str">
        <f t="shared" si="10"/>
        <v/>
      </c>
    </row>
    <row r="101" spans="2:14" x14ac:dyDescent="0.2">
      <c r="B101" s="15">
        <f>DATE(2026,8,24)</f>
        <v>46258</v>
      </c>
      <c r="C101" s="6" t="s">
        <v>15</v>
      </c>
      <c r="D101" s="12" t="s">
        <v>77</v>
      </c>
      <c r="E101" s="10" t="str">
        <f t="shared" si="6"/>
        <v>Cablu MYF 1,5 mm</v>
      </c>
      <c r="F101" s="16">
        <v>50</v>
      </c>
      <c r="G101" s="13"/>
      <c r="H101" s="6" t="s">
        <v>181</v>
      </c>
      <c r="I101" s="6" t="s">
        <v>92</v>
      </c>
      <c r="J101" s="11">
        <f t="shared" si="7"/>
        <v>-1</v>
      </c>
      <c r="K101" s="17">
        <f t="shared" si="8"/>
        <v>-50</v>
      </c>
      <c r="L101" s="18" t="str">
        <f t="shared" si="9"/>
        <v/>
      </c>
      <c r="M101" s="18">
        <f>IF(J101&lt;&gt;-1,"",ROUND(F101*IFERROR(INDEX(Stocuri!$G$5:$G$204,MATCH(D101,Coduri,0)),0),2))</f>
        <v>53.57</v>
      </c>
      <c r="N101" s="19" t="str">
        <f t="shared" si="10"/>
        <v/>
      </c>
    </row>
    <row r="102" spans="2:14" x14ac:dyDescent="0.2">
      <c r="B102" s="15">
        <f>DATE(2026,8,25)</f>
        <v>46259</v>
      </c>
      <c r="C102" s="6" t="s">
        <v>15</v>
      </c>
      <c r="D102" s="12" t="s">
        <v>39</v>
      </c>
      <c r="E102" s="10" t="str">
        <f t="shared" si="6"/>
        <v>Cablu CYY-F 3x2,5</v>
      </c>
      <c r="F102" s="16">
        <v>110</v>
      </c>
      <c r="G102" s="13"/>
      <c r="H102" s="6" t="s">
        <v>182</v>
      </c>
      <c r="I102" s="6" t="s">
        <v>94</v>
      </c>
      <c r="J102" s="11">
        <f t="shared" si="7"/>
        <v>-1</v>
      </c>
      <c r="K102" s="17">
        <f t="shared" si="8"/>
        <v>-110</v>
      </c>
      <c r="L102" s="18" t="str">
        <f t="shared" si="9"/>
        <v/>
      </c>
      <c r="M102" s="18">
        <f>IF(J102&lt;&gt;-1,"",ROUND(F102*IFERROR(INDEX(Stocuri!$G$5:$G$204,MATCH(D102,Coduri,0)),0),2))</f>
        <v>394.9</v>
      </c>
      <c r="N102" s="19" t="str">
        <f t="shared" si="10"/>
        <v/>
      </c>
    </row>
    <row r="103" spans="2:14" x14ac:dyDescent="0.2">
      <c r="B103" s="15">
        <f>DATE(2026,8,25)</f>
        <v>46259</v>
      </c>
      <c r="C103" s="6" t="s">
        <v>15</v>
      </c>
      <c r="D103" s="12" t="s">
        <v>55</v>
      </c>
      <c r="E103" s="10" t="str">
        <f t="shared" si="6"/>
        <v>Priză dublă cu împământare</v>
      </c>
      <c r="F103" s="16">
        <v>5</v>
      </c>
      <c r="G103" s="13"/>
      <c r="H103" s="6" t="s">
        <v>183</v>
      </c>
      <c r="I103" s="6" t="s">
        <v>96</v>
      </c>
      <c r="J103" s="11">
        <f t="shared" si="7"/>
        <v>-1</v>
      </c>
      <c r="K103" s="17">
        <f t="shared" si="8"/>
        <v>-5</v>
      </c>
      <c r="L103" s="18" t="str">
        <f t="shared" si="9"/>
        <v/>
      </c>
      <c r="M103" s="18">
        <f>IF(J103&lt;&gt;-1,"",ROUND(F103*IFERROR(INDEX(Stocuri!$G$5:$G$204,MATCH(D103,Coduri,0)),0),2))</f>
        <v>63.5</v>
      </c>
      <c r="N103" s="19" t="str">
        <f t="shared" si="10"/>
        <v/>
      </c>
    </row>
    <row r="104" spans="2:14" x14ac:dyDescent="0.2">
      <c r="B104" s="15">
        <f>DATE(2026,8,25)</f>
        <v>46259</v>
      </c>
      <c r="C104" s="6" t="s">
        <v>12</v>
      </c>
      <c r="D104" s="12" t="s">
        <v>58</v>
      </c>
      <c r="E104" s="10" t="str">
        <f t="shared" si="6"/>
        <v>Tablou electric 12 module</v>
      </c>
      <c r="F104" s="16">
        <v>10</v>
      </c>
      <c r="G104" s="13">
        <v>98</v>
      </c>
      <c r="H104" s="6" t="s">
        <v>184</v>
      </c>
      <c r="I104" s="6" t="s">
        <v>42</v>
      </c>
      <c r="J104" s="11">
        <f t="shared" si="7"/>
        <v>1</v>
      </c>
      <c r="K104" s="17">
        <f t="shared" si="8"/>
        <v>10</v>
      </c>
      <c r="L104" s="18">
        <f t="shared" si="9"/>
        <v>980</v>
      </c>
      <c r="M104" s="18" t="str">
        <f>IF(J104&lt;&gt;-1,"",ROUND(F104*IFERROR(INDEX(Stocuri!$G$5:$G$204,MATCH(D104,Coduri,0)),0),2))</f>
        <v/>
      </c>
      <c r="N104" s="19" t="str">
        <f t="shared" si="10"/>
        <v/>
      </c>
    </row>
    <row r="105" spans="2:14" x14ac:dyDescent="0.2">
      <c r="B105" s="15">
        <f>DATE(2026,8,25)</f>
        <v>46259</v>
      </c>
      <c r="C105" s="6" t="s">
        <v>15</v>
      </c>
      <c r="D105" s="12" t="s">
        <v>68</v>
      </c>
      <c r="E105" s="10" t="str">
        <f t="shared" si="6"/>
        <v>Bec LED E27 9W</v>
      </c>
      <c r="F105" s="16">
        <v>10</v>
      </c>
      <c r="G105" s="13"/>
      <c r="H105" s="6" t="s">
        <v>185</v>
      </c>
      <c r="I105" s="6" t="s">
        <v>98</v>
      </c>
      <c r="J105" s="11">
        <f t="shared" si="7"/>
        <v>-1</v>
      </c>
      <c r="K105" s="17">
        <f t="shared" si="8"/>
        <v>-10</v>
      </c>
      <c r="L105" s="18" t="str">
        <f t="shared" si="9"/>
        <v/>
      </c>
      <c r="M105" s="18">
        <f>IF(J105&lt;&gt;-1,"",ROUND(F105*IFERROR(INDEX(Stocuri!$G$5:$G$204,MATCH(D105,Coduri,0)),0),2))</f>
        <v>64.569999999999993</v>
      </c>
      <c r="N105" s="19" t="str">
        <f t="shared" si="10"/>
        <v/>
      </c>
    </row>
    <row r="106" spans="2:14" x14ac:dyDescent="0.2">
      <c r="B106" s="15">
        <f>DATE(2026,8,26)</f>
        <v>46260</v>
      </c>
      <c r="C106" s="6" t="s">
        <v>15</v>
      </c>
      <c r="D106" s="12" t="s">
        <v>44</v>
      </c>
      <c r="E106" s="10" t="str">
        <f t="shared" si="6"/>
        <v>Tub flexibil PVC 20 mm</v>
      </c>
      <c r="F106" s="16">
        <v>50</v>
      </c>
      <c r="G106" s="13"/>
      <c r="H106" s="6" t="s">
        <v>186</v>
      </c>
      <c r="I106" s="6" t="s">
        <v>92</v>
      </c>
      <c r="J106" s="11">
        <f t="shared" si="7"/>
        <v>-1</v>
      </c>
      <c r="K106" s="17">
        <f t="shared" si="8"/>
        <v>-50</v>
      </c>
      <c r="L106" s="18" t="str">
        <f t="shared" si="9"/>
        <v/>
      </c>
      <c r="M106" s="18">
        <f>IF(J106&lt;&gt;-1,"",ROUND(F106*IFERROR(INDEX(Stocuri!$G$5:$G$204,MATCH(D106,Coduri,0)),0),2))</f>
        <v>58.44</v>
      </c>
      <c r="N106" s="19" t="str">
        <f t="shared" si="10"/>
        <v/>
      </c>
    </row>
    <row r="107" spans="2:14" x14ac:dyDescent="0.2">
      <c r="B107" s="15">
        <f>DATE(2026,8,26)</f>
        <v>46260</v>
      </c>
      <c r="C107" s="6" t="s">
        <v>15</v>
      </c>
      <c r="D107" s="12" t="s">
        <v>58</v>
      </c>
      <c r="E107" s="10" t="str">
        <f t="shared" si="6"/>
        <v>Tablou electric 12 module</v>
      </c>
      <c r="F107" s="16">
        <v>2</v>
      </c>
      <c r="G107" s="13"/>
      <c r="H107" s="6" t="s">
        <v>187</v>
      </c>
      <c r="I107" s="6" t="s">
        <v>94</v>
      </c>
      <c r="J107" s="11">
        <f t="shared" si="7"/>
        <v>-1</v>
      </c>
      <c r="K107" s="17">
        <f t="shared" si="8"/>
        <v>-2</v>
      </c>
      <c r="L107" s="18" t="str">
        <f t="shared" si="9"/>
        <v/>
      </c>
      <c r="M107" s="18">
        <f>IF(J107&lt;&gt;-1,"",ROUND(F107*IFERROR(INDEX(Stocuri!$G$5:$G$204,MATCH(D107,Coduri,0)),0),2))</f>
        <v>193.33</v>
      </c>
      <c r="N107" s="19" t="str">
        <f t="shared" si="10"/>
        <v/>
      </c>
    </row>
    <row r="108" spans="2:14" x14ac:dyDescent="0.2">
      <c r="B108" s="15">
        <f>DATE(2026,8,27)</f>
        <v>46261</v>
      </c>
      <c r="C108" s="6" t="s">
        <v>15</v>
      </c>
      <c r="D108" s="12" t="s">
        <v>47</v>
      </c>
      <c r="E108" s="10" t="str">
        <f t="shared" si="6"/>
        <v>Doză aparat îngropată</v>
      </c>
      <c r="F108" s="16">
        <v>50</v>
      </c>
      <c r="G108" s="13"/>
      <c r="H108" s="6" t="s">
        <v>188</v>
      </c>
      <c r="I108" s="6" t="s">
        <v>100</v>
      </c>
      <c r="J108" s="11">
        <f t="shared" si="7"/>
        <v>-1</v>
      </c>
      <c r="K108" s="17">
        <f t="shared" si="8"/>
        <v>-50</v>
      </c>
      <c r="L108" s="18" t="str">
        <f t="shared" si="9"/>
        <v/>
      </c>
      <c r="M108" s="18">
        <f>IF(J108&lt;&gt;-1,"",ROUND(F108*IFERROR(INDEX(Stocuri!$G$5:$G$204,MATCH(D108,Coduri,0)),0),2))</f>
        <v>34.450000000000003</v>
      </c>
      <c r="N108" s="19" t="str">
        <f t="shared" si="10"/>
        <v/>
      </c>
    </row>
    <row r="109" spans="2:14" x14ac:dyDescent="0.2">
      <c r="B109" s="15">
        <f>DATE(2026,8,27)</f>
        <v>46261</v>
      </c>
      <c r="C109" s="6" t="s">
        <v>15</v>
      </c>
      <c r="D109" s="12" t="s">
        <v>61</v>
      </c>
      <c r="E109" s="10" t="str">
        <f t="shared" si="6"/>
        <v>Siguranță automată 16A</v>
      </c>
      <c r="F109" s="16">
        <v>15</v>
      </c>
      <c r="G109" s="13"/>
      <c r="H109" s="6" t="s">
        <v>189</v>
      </c>
      <c r="I109" s="6" t="s">
        <v>92</v>
      </c>
      <c r="J109" s="11">
        <f t="shared" si="7"/>
        <v>-1</v>
      </c>
      <c r="K109" s="17">
        <f t="shared" si="8"/>
        <v>-15</v>
      </c>
      <c r="L109" s="18" t="str">
        <f t="shared" si="9"/>
        <v/>
      </c>
      <c r="M109" s="18">
        <f>IF(J109&lt;&gt;-1,"",ROUND(F109*IFERROR(INDEX(Stocuri!$G$5:$G$204,MATCH(D109,Coduri,0)),0),2))</f>
        <v>226.29</v>
      </c>
      <c r="N109" s="19" t="str">
        <f t="shared" si="10"/>
        <v/>
      </c>
    </row>
    <row r="110" spans="2:14" x14ac:dyDescent="0.2">
      <c r="B110" s="15">
        <f>DATE(2026,8,27)</f>
        <v>46261</v>
      </c>
      <c r="C110" s="6" t="s">
        <v>15</v>
      </c>
      <c r="D110" s="12" t="s">
        <v>74</v>
      </c>
      <c r="E110" s="10" t="str">
        <f t="shared" si="6"/>
        <v>Bandă izolatoare 19 mm</v>
      </c>
      <c r="F110" s="16">
        <v>6</v>
      </c>
      <c r="G110" s="13"/>
      <c r="H110" s="6" t="s">
        <v>190</v>
      </c>
      <c r="I110" s="6" t="s">
        <v>94</v>
      </c>
      <c r="J110" s="11">
        <f t="shared" si="7"/>
        <v>-1</v>
      </c>
      <c r="K110" s="17">
        <f t="shared" si="8"/>
        <v>-6</v>
      </c>
      <c r="L110" s="18" t="str">
        <f t="shared" si="9"/>
        <v/>
      </c>
      <c r="M110" s="18">
        <f>IF(J110&lt;&gt;-1,"",ROUND(F110*IFERROR(INDEX(Stocuri!$G$5:$G$204,MATCH(D110,Coduri,0)),0),2))</f>
        <v>12.6</v>
      </c>
      <c r="N110" s="19" t="str">
        <f t="shared" si="10"/>
        <v/>
      </c>
    </row>
    <row r="111" spans="2:14" x14ac:dyDescent="0.2">
      <c r="B111" s="15">
        <f>DATE(2026,8,31)</f>
        <v>46265</v>
      </c>
      <c r="C111" s="6" t="s">
        <v>15</v>
      </c>
      <c r="D111" s="12" t="s">
        <v>51</v>
      </c>
      <c r="E111" s="10" t="str">
        <f t="shared" si="6"/>
        <v>Întrerupător simplu Schneider Sedna</v>
      </c>
      <c r="F111" s="16">
        <v>9</v>
      </c>
      <c r="G111" s="13"/>
      <c r="H111" s="6" t="s">
        <v>191</v>
      </c>
      <c r="I111" s="6" t="s">
        <v>96</v>
      </c>
      <c r="J111" s="11">
        <f t="shared" si="7"/>
        <v>-1</v>
      </c>
      <c r="K111" s="17">
        <f t="shared" si="8"/>
        <v>-9</v>
      </c>
      <c r="L111" s="18" t="str">
        <f t="shared" si="9"/>
        <v/>
      </c>
      <c r="M111" s="18">
        <f>IF(J111&lt;&gt;-1,"",ROUND(F111*IFERROR(INDEX(Stocuri!$G$5:$G$204,MATCH(D111,Coduri,0)),0),2))</f>
        <v>87.12</v>
      </c>
      <c r="N111" s="19" t="str">
        <f t="shared" si="10"/>
        <v/>
      </c>
    </row>
    <row r="112" spans="2:14" x14ac:dyDescent="0.2">
      <c r="B112" s="15">
        <f>DATE(2026,8,31)</f>
        <v>46265</v>
      </c>
      <c r="C112" s="6" t="s">
        <v>15</v>
      </c>
      <c r="D112" s="12" t="s">
        <v>64</v>
      </c>
      <c r="E112" s="10" t="str">
        <f t="shared" si="6"/>
        <v>Corp iluminat LED 36W</v>
      </c>
      <c r="F112" s="16">
        <v>6</v>
      </c>
      <c r="G112" s="13"/>
      <c r="H112" s="6" t="s">
        <v>192</v>
      </c>
      <c r="I112" s="6" t="s">
        <v>98</v>
      </c>
      <c r="J112" s="11">
        <f t="shared" si="7"/>
        <v>-1</v>
      </c>
      <c r="K112" s="17">
        <f t="shared" si="8"/>
        <v>-6</v>
      </c>
      <c r="L112" s="18" t="str">
        <f t="shared" si="9"/>
        <v/>
      </c>
      <c r="M112" s="18">
        <f>IF(J112&lt;&gt;-1,"",ROUND(F112*IFERROR(INDEX(Stocuri!$G$5:$G$204,MATCH(D112,Coduri,0)),0),2))</f>
        <v>368.4</v>
      </c>
      <c r="N112" s="19" t="str">
        <f t="shared" si="10"/>
        <v/>
      </c>
    </row>
    <row r="113" spans="2:14" x14ac:dyDescent="0.2">
      <c r="B113" s="15">
        <f>DATE(2026,8,31)</f>
        <v>46265</v>
      </c>
      <c r="C113" s="6" t="s">
        <v>15</v>
      </c>
      <c r="D113" s="12" t="s">
        <v>77</v>
      </c>
      <c r="E113" s="10" t="str">
        <f t="shared" si="6"/>
        <v>Cablu MYF 1,5 mm</v>
      </c>
      <c r="F113" s="16">
        <v>50</v>
      </c>
      <c r="G113" s="13"/>
      <c r="H113" s="6" t="s">
        <v>193</v>
      </c>
      <c r="I113" s="6" t="s">
        <v>100</v>
      </c>
      <c r="J113" s="11">
        <f t="shared" si="7"/>
        <v>-1</v>
      </c>
      <c r="K113" s="17">
        <f t="shared" si="8"/>
        <v>-50</v>
      </c>
      <c r="L113" s="18" t="str">
        <f t="shared" si="9"/>
        <v/>
      </c>
      <c r="M113" s="18">
        <f>IF(J113&lt;&gt;-1,"",ROUND(F113*IFERROR(INDEX(Stocuri!$G$5:$G$204,MATCH(D113,Coduri,0)),0),2))</f>
        <v>53.57</v>
      </c>
      <c r="N113" s="19" t="str">
        <f t="shared" si="10"/>
        <v/>
      </c>
    </row>
    <row r="114" spans="2:14" x14ac:dyDescent="0.2">
      <c r="B114" s="15">
        <f>DATE(2026,9,1)</f>
        <v>46266</v>
      </c>
      <c r="C114" s="6" t="s">
        <v>15</v>
      </c>
      <c r="D114" s="12" t="s">
        <v>39</v>
      </c>
      <c r="E114" s="10" t="str">
        <f t="shared" si="6"/>
        <v>Cablu CYY-F 3x2,5</v>
      </c>
      <c r="F114" s="16">
        <v>110</v>
      </c>
      <c r="G114" s="13"/>
      <c r="H114" s="6" t="s">
        <v>194</v>
      </c>
      <c r="I114" s="6" t="s">
        <v>92</v>
      </c>
      <c r="J114" s="11">
        <f t="shared" si="7"/>
        <v>-1</v>
      </c>
      <c r="K114" s="17">
        <f t="shared" si="8"/>
        <v>-110</v>
      </c>
      <c r="L114" s="18" t="str">
        <f t="shared" si="9"/>
        <v/>
      </c>
      <c r="M114" s="18">
        <f>IF(J114&lt;&gt;-1,"",ROUND(F114*IFERROR(INDEX(Stocuri!$G$5:$G$204,MATCH(D114,Coduri,0)),0),2))</f>
        <v>394.9</v>
      </c>
      <c r="N114" s="19" t="str">
        <f t="shared" si="10"/>
        <v/>
      </c>
    </row>
    <row r="115" spans="2:14" x14ac:dyDescent="0.2">
      <c r="B115" s="15">
        <f>DATE(2026,9,1)</f>
        <v>46266</v>
      </c>
      <c r="C115" s="6" t="s">
        <v>12</v>
      </c>
      <c r="D115" s="12" t="s">
        <v>47</v>
      </c>
      <c r="E115" s="10" t="str">
        <f t="shared" si="6"/>
        <v>Doză aparat îngropată</v>
      </c>
      <c r="F115" s="16">
        <v>500</v>
      </c>
      <c r="G115" s="13">
        <v>0.7</v>
      </c>
      <c r="H115" s="6" t="s">
        <v>195</v>
      </c>
      <c r="I115" s="6" t="s">
        <v>42</v>
      </c>
      <c r="J115" s="11">
        <f t="shared" si="7"/>
        <v>1</v>
      </c>
      <c r="K115" s="17">
        <f t="shared" si="8"/>
        <v>500</v>
      </c>
      <c r="L115" s="18">
        <f t="shared" si="9"/>
        <v>350</v>
      </c>
      <c r="M115" s="18" t="str">
        <f>IF(J115&lt;&gt;-1,"",ROUND(F115*IFERROR(INDEX(Stocuri!$G$5:$G$204,MATCH(D115,Coduri,0)),0),2))</f>
        <v/>
      </c>
      <c r="N115" s="19" t="str">
        <f t="shared" si="10"/>
        <v/>
      </c>
    </row>
    <row r="116" spans="2:14" x14ac:dyDescent="0.2">
      <c r="B116" s="15">
        <f>DATE(2026,9,1)</f>
        <v>46266</v>
      </c>
      <c r="C116" s="6" t="s">
        <v>15</v>
      </c>
      <c r="D116" s="12" t="s">
        <v>55</v>
      </c>
      <c r="E116" s="10" t="str">
        <f t="shared" si="6"/>
        <v>Priză dublă cu împământare</v>
      </c>
      <c r="F116" s="16">
        <v>5</v>
      </c>
      <c r="G116" s="13"/>
      <c r="H116" s="6" t="s">
        <v>196</v>
      </c>
      <c r="I116" s="6" t="s">
        <v>94</v>
      </c>
      <c r="J116" s="11">
        <f t="shared" si="7"/>
        <v>-1</v>
      </c>
      <c r="K116" s="17">
        <f t="shared" si="8"/>
        <v>-5</v>
      </c>
      <c r="L116" s="18" t="str">
        <f t="shared" si="9"/>
        <v/>
      </c>
      <c r="M116" s="18">
        <f>IF(J116&lt;&gt;-1,"",ROUND(F116*IFERROR(INDEX(Stocuri!$G$5:$G$204,MATCH(D116,Coduri,0)),0),2))</f>
        <v>63.5</v>
      </c>
      <c r="N116" s="19" t="str">
        <f t="shared" si="10"/>
        <v/>
      </c>
    </row>
    <row r="117" spans="2:14" x14ac:dyDescent="0.2">
      <c r="B117" s="15">
        <f>DATE(2026,9,1)</f>
        <v>46266</v>
      </c>
      <c r="C117" s="6" t="s">
        <v>12</v>
      </c>
      <c r="D117" s="12" t="s">
        <v>61</v>
      </c>
      <c r="E117" s="10" t="str">
        <f t="shared" si="6"/>
        <v>Siguranță automată 16A</v>
      </c>
      <c r="F117" s="16">
        <v>150</v>
      </c>
      <c r="G117" s="13">
        <v>15.2</v>
      </c>
      <c r="H117" s="6" t="s">
        <v>197</v>
      </c>
      <c r="I117" s="6" t="s">
        <v>42</v>
      </c>
      <c r="J117" s="11">
        <f t="shared" si="7"/>
        <v>1</v>
      </c>
      <c r="K117" s="17">
        <f t="shared" si="8"/>
        <v>150</v>
      </c>
      <c r="L117" s="18">
        <f t="shared" si="9"/>
        <v>2280</v>
      </c>
      <c r="M117" s="18" t="str">
        <f>IF(J117&lt;&gt;-1,"",ROUND(F117*IFERROR(INDEX(Stocuri!$G$5:$G$204,MATCH(D117,Coduri,0)),0),2))</f>
        <v/>
      </c>
      <c r="N117" s="19" t="str">
        <f t="shared" si="10"/>
        <v/>
      </c>
    </row>
    <row r="118" spans="2:14" x14ac:dyDescent="0.2">
      <c r="B118" s="15">
        <f>DATE(2026,9,1)</f>
        <v>46266</v>
      </c>
      <c r="C118" s="6" t="s">
        <v>15</v>
      </c>
      <c r="D118" s="12" t="s">
        <v>68</v>
      </c>
      <c r="E118" s="10" t="str">
        <f t="shared" si="6"/>
        <v>Bec LED E27 9W</v>
      </c>
      <c r="F118" s="16">
        <v>10</v>
      </c>
      <c r="G118" s="13"/>
      <c r="H118" s="6" t="s">
        <v>198</v>
      </c>
      <c r="I118" s="6" t="s">
        <v>96</v>
      </c>
      <c r="J118" s="11">
        <f t="shared" si="7"/>
        <v>-1</v>
      </c>
      <c r="K118" s="17">
        <f t="shared" si="8"/>
        <v>-10</v>
      </c>
      <c r="L118" s="18" t="str">
        <f t="shared" si="9"/>
        <v/>
      </c>
      <c r="M118" s="18">
        <f>IF(J118&lt;&gt;-1,"",ROUND(F118*IFERROR(INDEX(Stocuri!$G$5:$G$204,MATCH(D118,Coduri,0)),0),2))</f>
        <v>64.569999999999993</v>
      </c>
      <c r="N118" s="19" t="str">
        <f t="shared" si="10"/>
        <v/>
      </c>
    </row>
    <row r="119" spans="2:14" x14ac:dyDescent="0.2">
      <c r="B119" s="15">
        <f>DATE(2026,9,2)</f>
        <v>46267</v>
      </c>
      <c r="C119" s="6" t="s">
        <v>15</v>
      </c>
      <c r="D119" s="12" t="s">
        <v>44</v>
      </c>
      <c r="E119" s="10" t="str">
        <f t="shared" si="6"/>
        <v>Tub flexibil PVC 20 mm</v>
      </c>
      <c r="F119" s="16">
        <v>50</v>
      </c>
      <c r="G119" s="13"/>
      <c r="H119" s="6" t="s">
        <v>199</v>
      </c>
      <c r="I119" s="6" t="s">
        <v>100</v>
      </c>
      <c r="J119" s="11">
        <f t="shared" si="7"/>
        <v>-1</v>
      </c>
      <c r="K119" s="17">
        <f t="shared" si="8"/>
        <v>-50</v>
      </c>
      <c r="L119" s="18" t="str">
        <f t="shared" si="9"/>
        <v/>
      </c>
      <c r="M119" s="18">
        <f>IF(J119&lt;&gt;-1,"",ROUND(F119*IFERROR(INDEX(Stocuri!$G$5:$G$204,MATCH(D119,Coduri,0)),0),2))</f>
        <v>58.44</v>
      </c>
      <c r="N119" s="19" t="str">
        <f t="shared" si="10"/>
        <v/>
      </c>
    </row>
    <row r="120" spans="2:14" x14ac:dyDescent="0.2">
      <c r="B120" s="15">
        <f>DATE(2026,9,2)</f>
        <v>46267</v>
      </c>
      <c r="C120" s="6" t="s">
        <v>15</v>
      </c>
      <c r="D120" s="12" t="s">
        <v>58</v>
      </c>
      <c r="E120" s="10" t="str">
        <f t="shared" si="6"/>
        <v>Tablou electric 12 module</v>
      </c>
      <c r="F120" s="16">
        <v>1</v>
      </c>
      <c r="G120" s="13"/>
      <c r="H120" s="6" t="s">
        <v>200</v>
      </c>
      <c r="I120" s="6" t="s">
        <v>92</v>
      </c>
      <c r="J120" s="11">
        <f t="shared" si="7"/>
        <v>-1</v>
      </c>
      <c r="K120" s="17">
        <f t="shared" si="8"/>
        <v>-1</v>
      </c>
      <c r="L120" s="18" t="str">
        <f t="shared" si="9"/>
        <v/>
      </c>
      <c r="M120" s="18">
        <f>IF(J120&lt;&gt;-1,"",ROUND(F120*IFERROR(INDEX(Stocuri!$G$5:$G$204,MATCH(D120,Coduri,0)),0),2))</f>
        <v>96.67</v>
      </c>
      <c r="N120" s="19" t="str">
        <f t="shared" si="10"/>
        <v/>
      </c>
    </row>
    <row r="121" spans="2:14" x14ac:dyDescent="0.2">
      <c r="B121" s="15">
        <f>DATE(2026,9,3)</f>
        <v>46268</v>
      </c>
      <c r="C121" s="6" t="s">
        <v>15</v>
      </c>
      <c r="D121" s="12" t="s">
        <v>47</v>
      </c>
      <c r="E121" s="10" t="str">
        <f t="shared" si="6"/>
        <v>Doză aparat îngropată</v>
      </c>
      <c r="F121" s="16">
        <v>50</v>
      </c>
      <c r="G121" s="13"/>
      <c r="H121" s="6" t="s">
        <v>201</v>
      </c>
      <c r="I121" s="6" t="s">
        <v>98</v>
      </c>
      <c r="J121" s="11">
        <f t="shared" si="7"/>
        <v>-1</v>
      </c>
      <c r="K121" s="17">
        <f t="shared" si="8"/>
        <v>-50</v>
      </c>
      <c r="L121" s="18" t="str">
        <f t="shared" si="9"/>
        <v/>
      </c>
      <c r="M121" s="18">
        <f>IF(J121&lt;&gt;-1,"",ROUND(F121*IFERROR(INDEX(Stocuri!$G$5:$G$204,MATCH(D121,Coduri,0)),0),2))</f>
        <v>34.450000000000003</v>
      </c>
      <c r="N121" s="19" t="str">
        <f t="shared" si="10"/>
        <v/>
      </c>
    </row>
    <row r="122" spans="2:14" x14ac:dyDescent="0.2">
      <c r="B122" s="15">
        <f>DATE(2026,9,3)</f>
        <v>46268</v>
      </c>
      <c r="C122" s="6" t="s">
        <v>15</v>
      </c>
      <c r="D122" s="12" t="s">
        <v>61</v>
      </c>
      <c r="E122" s="10" t="str">
        <f t="shared" si="6"/>
        <v>Siguranță automată 16A</v>
      </c>
      <c r="F122" s="16">
        <v>15</v>
      </c>
      <c r="G122" s="13"/>
      <c r="H122" s="6" t="s">
        <v>202</v>
      </c>
      <c r="I122" s="6" t="s">
        <v>100</v>
      </c>
      <c r="J122" s="11">
        <f t="shared" si="7"/>
        <v>-1</v>
      </c>
      <c r="K122" s="17">
        <f t="shared" si="8"/>
        <v>-15</v>
      </c>
      <c r="L122" s="18" t="str">
        <f t="shared" si="9"/>
        <v/>
      </c>
      <c r="M122" s="18">
        <f>IF(J122&lt;&gt;-1,"",ROUND(F122*IFERROR(INDEX(Stocuri!$G$5:$G$204,MATCH(D122,Coduri,0)),0),2))</f>
        <v>226.29</v>
      </c>
      <c r="N122" s="19" t="str">
        <f t="shared" si="10"/>
        <v/>
      </c>
    </row>
    <row r="123" spans="2:14" x14ac:dyDescent="0.2">
      <c r="B123" s="15">
        <f>DATE(2026,9,3)</f>
        <v>46268</v>
      </c>
      <c r="C123" s="6" t="s">
        <v>15</v>
      </c>
      <c r="D123" s="12" t="s">
        <v>74</v>
      </c>
      <c r="E123" s="10" t="str">
        <f t="shared" si="6"/>
        <v>Bandă izolatoare 19 mm</v>
      </c>
      <c r="F123" s="16">
        <v>6</v>
      </c>
      <c r="G123" s="13"/>
      <c r="H123" s="6" t="s">
        <v>203</v>
      </c>
      <c r="I123" s="6" t="s">
        <v>92</v>
      </c>
      <c r="J123" s="11">
        <f t="shared" si="7"/>
        <v>-1</v>
      </c>
      <c r="K123" s="17">
        <f t="shared" si="8"/>
        <v>-6</v>
      </c>
      <c r="L123" s="18" t="str">
        <f t="shared" si="9"/>
        <v/>
      </c>
      <c r="M123" s="18">
        <f>IF(J123&lt;&gt;-1,"",ROUND(F123*IFERROR(INDEX(Stocuri!$G$5:$G$204,MATCH(D123,Coduri,0)),0),2))</f>
        <v>12.6</v>
      </c>
      <c r="N123" s="19" t="str">
        <f t="shared" si="10"/>
        <v/>
      </c>
    </row>
    <row r="124" spans="2:14" x14ac:dyDescent="0.2">
      <c r="B124" s="15">
        <f>DATE(2026,9,7)</f>
        <v>46272</v>
      </c>
      <c r="C124" s="6" t="s">
        <v>15</v>
      </c>
      <c r="D124" s="12" t="s">
        <v>51</v>
      </c>
      <c r="E124" s="10" t="str">
        <f t="shared" si="6"/>
        <v>Întrerupător simplu Schneider Sedna</v>
      </c>
      <c r="F124" s="16">
        <v>9</v>
      </c>
      <c r="G124" s="13"/>
      <c r="H124" s="6" t="s">
        <v>204</v>
      </c>
      <c r="I124" s="6" t="s">
        <v>94</v>
      </c>
      <c r="J124" s="11">
        <f t="shared" si="7"/>
        <v>-1</v>
      </c>
      <c r="K124" s="17">
        <f t="shared" si="8"/>
        <v>-9</v>
      </c>
      <c r="L124" s="18" t="str">
        <f t="shared" si="9"/>
        <v/>
      </c>
      <c r="M124" s="18">
        <f>IF(J124&lt;&gt;-1,"",ROUND(F124*IFERROR(INDEX(Stocuri!$G$5:$G$204,MATCH(D124,Coduri,0)),0),2))</f>
        <v>87.12</v>
      </c>
      <c r="N124" s="19" t="str">
        <f t="shared" si="10"/>
        <v/>
      </c>
    </row>
    <row r="125" spans="2:14" x14ac:dyDescent="0.2">
      <c r="B125" s="15">
        <f>DATE(2026,9,7)</f>
        <v>46272</v>
      </c>
      <c r="C125" s="6" t="s">
        <v>15</v>
      </c>
      <c r="D125" s="12" t="s">
        <v>64</v>
      </c>
      <c r="E125" s="10" t="str">
        <f t="shared" si="6"/>
        <v>Corp iluminat LED 36W</v>
      </c>
      <c r="F125" s="16">
        <v>6</v>
      </c>
      <c r="G125" s="13"/>
      <c r="H125" s="6" t="s">
        <v>205</v>
      </c>
      <c r="I125" s="6" t="s">
        <v>96</v>
      </c>
      <c r="J125" s="11">
        <f t="shared" si="7"/>
        <v>-1</v>
      </c>
      <c r="K125" s="17">
        <f t="shared" si="8"/>
        <v>-6</v>
      </c>
      <c r="L125" s="18" t="str">
        <f t="shared" si="9"/>
        <v/>
      </c>
      <c r="M125" s="18">
        <f>IF(J125&lt;&gt;-1,"",ROUND(F125*IFERROR(INDEX(Stocuri!$G$5:$G$204,MATCH(D125,Coduri,0)),0),2))</f>
        <v>368.4</v>
      </c>
      <c r="N125" s="19" t="str">
        <f t="shared" si="10"/>
        <v/>
      </c>
    </row>
    <row r="126" spans="2:14" x14ac:dyDescent="0.2">
      <c r="B126" s="15">
        <f>DATE(2026,9,7)</f>
        <v>46272</v>
      </c>
      <c r="C126" s="6" t="s">
        <v>15</v>
      </c>
      <c r="D126" s="12" t="s">
        <v>77</v>
      </c>
      <c r="E126" s="10" t="str">
        <f t="shared" si="6"/>
        <v>Cablu MYF 1,5 mm</v>
      </c>
      <c r="F126" s="16">
        <v>50</v>
      </c>
      <c r="G126" s="13"/>
      <c r="H126" s="6" t="s">
        <v>206</v>
      </c>
      <c r="I126" s="6" t="s">
        <v>98</v>
      </c>
      <c r="J126" s="11">
        <f t="shared" si="7"/>
        <v>-1</v>
      </c>
      <c r="K126" s="17">
        <f t="shared" si="8"/>
        <v>-50</v>
      </c>
      <c r="L126" s="18" t="str">
        <f t="shared" si="9"/>
        <v/>
      </c>
      <c r="M126" s="18">
        <f>IF(J126&lt;&gt;-1,"",ROUND(F126*IFERROR(INDEX(Stocuri!$G$5:$G$204,MATCH(D126,Coduri,0)),0),2))</f>
        <v>53.57</v>
      </c>
      <c r="N126" s="19" t="str">
        <f t="shared" si="10"/>
        <v/>
      </c>
    </row>
    <row r="127" spans="2:14" x14ac:dyDescent="0.2">
      <c r="B127" s="15">
        <f>DATE(2026,9,8)</f>
        <v>46273</v>
      </c>
      <c r="C127" s="6" t="s">
        <v>16</v>
      </c>
      <c r="D127" s="12" t="s">
        <v>39</v>
      </c>
      <c r="E127" s="10" t="str">
        <f t="shared" si="6"/>
        <v>Cablu CYY-F 3x2,5</v>
      </c>
      <c r="F127" s="16">
        <v>110</v>
      </c>
      <c r="G127" s="13"/>
      <c r="H127" s="6" t="s">
        <v>207</v>
      </c>
      <c r="I127" s="6" t="s">
        <v>145</v>
      </c>
      <c r="J127" s="11">
        <f t="shared" si="7"/>
        <v>-1</v>
      </c>
      <c r="K127" s="17">
        <f t="shared" si="8"/>
        <v>-110</v>
      </c>
      <c r="L127" s="18" t="str">
        <f t="shared" si="9"/>
        <v/>
      </c>
      <c r="M127" s="18">
        <f>IF(J127&lt;&gt;-1,"",ROUND(F127*IFERROR(INDEX(Stocuri!$G$5:$G$204,MATCH(D127,Coduri,0)),0),2))</f>
        <v>394.9</v>
      </c>
      <c r="N127" s="19" t="str">
        <f t="shared" si="10"/>
        <v/>
      </c>
    </row>
    <row r="128" spans="2:14" x14ac:dyDescent="0.2">
      <c r="B128" s="15">
        <f>DATE(2026,9,8)</f>
        <v>46273</v>
      </c>
      <c r="C128" s="6" t="s">
        <v>15</v>
      </c>
      <c r="D128" s="12" t="s">
        <v>55</v>
      </c>
      <c r="E128" s="10" t="str">
        <f t="shared" si="6"/>
        <v>Priză dublă cu împământare</v>
      </c>
      <c r="F128" s="16">
        <v>5</v>
      </c>
      <c r="G128" s="13"/>
      <c r="H128" s="6" t="s">
        <v>208</v>
      </c>
      <c r="I128" s="6" t="s">
        <v>92</v>
      </c>
      <c r="J128" s="11">
        <f t="shared" si="7"/>
        <v>-1</v>
      </c>
      <c r="K128" s="17">
        <f t="shared" si="8"/>
        <v>-5</v>
      </c>
      <c r="L128" s="18" t="str">
        <f t="shared" si="9"/>
        <v/>
      </c>
      <c r="M128" s="18">
        <f>IF(J128&lt;&gt;-1,"",ROUND(F128*IFERROR(INDEX(Stocuri!$G$5:$G$204,MATCH(D128,Coduri,0)),0),2))</f>
        <v>63.5</v>
      </c>
      <c r="N128" s="19" t="str">
        <f t="shared" si="10"/>
        <v/>
      </c>
    </row>
    <row r="129" spans="2:14" x14ac:dyDescent="0.2">
      <c r="B129" s="15">
        <f>DATE(2026,9,8)</f>
        <v>46273</v>
      </c>
      <c r="C129" s="6" t="s">
        <v>15</v>
      </c>
      <c r="D129" s="12" t="s">
        <v>68</v>
      </c>
      <c r="E129" s="10" t="str">
        <f t="shared" si="6"/>
        <v>Bec LED E27 9W</v>
      </c>
      <c r="F129" s="16">
        <v>10</v>
      </c>
      <c r="G129" s="13"/>
      <c r="H129" s="6" t="s">
        <v>209</v>
      </c>
      <c r="I129" s="6" t="s">
        <v>94</v>
      </c>
      <c r="J129" s="11">
        <f t="shared" si="7"/>
        <v>-1</v>
      </c>
      <c r="K129" s="17">
        <f t="shared" si="8"/>
        <v>-10</v>
      </c>
      <c r="L129" s="18" t="str">
        <f t="shared" si="9"/>
        <v/>
      </c>
      <c r="M129" s="18">
        <f>IF(J129&lt;&gt;-1,"",ROUND(F129*IFERROR(INDEX(Stocuri!$G$5:$G$204,MATCH(D129,Coduri,0)),0),2))</f>
        <v>64.569999999999993</v>
      </c>
      <c r="N129" s="19" t="str">
        <f t="shared" si="10"/>
        <v/>
      </c>
    </row>
    <row r="130" spans="2:14" x14ac:dyDescent="0.2">
      <c r="B130" s="15">
        <f>DATE(2026,9,9)</f>
        <v>46274</v>
      </c>
      <c r="C130" s="6" t="s">
        <v>16</v>
      </c>
      <c r="D130" s="12" t="s">
        <v>44</v>
      </c>
      <c r="E130" s="10" t="str">
        <f t="shared" si="6"/>
        <v>Tub flexibil PVC 20 mm</v>
      </c>
      <c r="F130" s="16">
        <v>50</v>
      </c>
      <c r="G130" s="13"/>
      <c r="H130" s="6" t="s">
        <v>210</v>
      </c>
      <c r="I130" s="6" t="s">
        <v>145</v>
      </c>
      <c r="J130" s="11">
        <f t="shared" si="7"/>
        <v>-1</v>
      </c>
      <c r="K130" s="17">
        <f t="shared" si="8"/>
        <v>-50</v>
      </c>
      <c r="L130" s="18" t="str">
        <f t="shared" si="9"/>
        <v/>
      </c>
      <c r="M130" s="18">
        <f>IF(J130&lt;&gt;-1,"",ROUND(F130*IFERROR(INDEX(Stocuri!$G$5:$G$204,MATCH(D130,Coduri,0)),0),2))</f>
        <v>58.44</v>
      </c>
      <c r="N130" s="19" t="str">
        <f t="shared" si="10"/>
        <v/>
      </c>
    </row>
    <row r="131" spans="2:14" x14ac:dyDescent="0.2">
      <c r="B131" s="15">
        <f>DATE(2026,9,9)</f>
        <v>46274</v>
      </c>
      <c r="C131" s="6" t="s">
        <v>15</v>
      </c>
      <c r="D131" s="12" t="s">
        <v>58</v>
      </c>
      <c r="E131" s="10" t="str">
        <f t="shared" si="6"/>
        <v>Tablou electric 12 module</v>
      </c>
      <c r="F131" s="16">
        <v>2</v>
      </c>
      <c r="G131" s="13"/>
      <c r="H131" s="6" t="s">
        <v>211</v>
      </c>
      <c r="I131" s="6" t="s">
        <v>100</v>
      </c>
      <c r="J131" s="11">
        <f t="shared" si="7"/>
        <v>-1</v>
      </c>
      <c r="K131" s="17">
        <f t="shared" si="8"/>
        <v>-2</v>
      </c>
      <c r="L131" s="18" t="str">
        <f t="shared" si="9"/>
        <v/>
      </c>
      <c r="M131" s="18">
        <f>IF(J131&lt;&gt;-1,"",ROUND(F131*IFERROR(INDEX(Stocuri!$G$5:$G$204,MATCH(D131,Coduri,0)),0),2))</f>
        <v>193.33</v>
      </c>
      <c r="N131" s="19" t="str">
        <f t="shared" si="10"/>
        <v/>
      </c>
    </row>
    <row r="132" spans="2:14" x14ac:dyDescent="0.2">
      <c r="B132" s="15">
        <f>DATE(2026,9,10)</f>
        <v>46275</v>
      </c>
      <c r="C132" s="6" t="s">
        <v>16</v>
      </c>
      <c r="D132" s="12" t="s">
        <v>47</v>
      </c>
      <c r="E132" s="10" t="str">
        <f t="shared" si="6"/>
        <v>Doză aparat îngropată</v>
      </c>
      <c r="F132" s="16">
        <v>50</v>
      </c>
      <c r="G132" s="13"/>
      <c r="H132" s="6" t="s">
        <v>212</v>
      </c>
      <c r="I132" s="6" t="s">
        <v>145</v>
      </c>
      <c r="J132" s="11">
        <f t="shared" si="7"/>
        <v>-1</v>
      </c>
      <c r="K132" s="17">
        <f t="shared" si="8"/>
        <v>-50</v>
      </c>
      <c r="L132" s="18" t="str">
        <f t="shared" si="9"/>
        <v/>
      </c>
      <c r="M132" s="18">
        <f>IF(J132&lt;&gt;-1,"",ROUND(F132*IFERROR(INDEX(Stocuri!$G$5:$G$204,MATCH(D132,Coduri,0)),0),2))</f>
        <v>34.450000000000003</v>
      </c>
      <c r="N132" s="19" t="str">
        <f t="shared" si="10"/>
        <v/>
      </c>
    </row>
    <row r="133" spans="2:14" x14ac:dyDescent="0.2">
      <c r="B133" s="15">
        <f>DATE(2026,9,10)</f>
        <v>46275</v>
      </c>
      <c r="C133" s="6" t="s">
        <v>15</v>
      </c>
      <c r="D133" s="12" t="s">
        <v>61</v>
      </c>
      <c r="E133" s="10" t="str">
        <f t="shared" ref="E133:E196" si="11">IF(D133="","",IFERROR(VLOOKUP(D133,Catalog,2,FALSE),""))</f>
        <v>Siguranță automată 16A</v>
      </c>
      <c r="F133" s="16">
        <v>15</v>
      </c>
      <c r="G133" s="13"/>
      <c r="H133" s="6" t="s">
        <v>213</v>
      </c>
      <c r="I133" s="6" t="s">
        <v>98</v>
      </c>
      <c r="J133" s="11">
        <f t="shared" ref="J133:J196" si="12">IF(C133="","",IFERROR(VLOOKUP(C133,TipSemn,2,FALSE),""))</f>
        <v>-1</v>
      </c>
      <c r="K133" s="17">
        <f t="shared" ref="K133:K196" si="13">IF(OR(J133="",F133=""),"",J133*F133)</f>
        <v>-15</v>
      </c>
      <c r="L133" s="18" t="str">
        <f t="shared" ref="L133:L196" si="14">IF(OR(J133&lt;&gt;1,G133=""),"",ROUND(F133*G133,2))</f>
        <v/>
      </c>
      <c r="M133" s="18">
        <f>IF(J133&lt;&gt;-1,"",ROUND(F133*IFERROR(INDEX(Stocuri!$G$5:$G$204,MATCH(D133,Coduri,0)),0),2))</f>
        <v>226.29</v>
      </c>
      <c r="N133" s="19" t="str">
        <f t="shared" ref="N133:N196" si="15">IF(AND(B133="",D133=""),"",TRIM(IF(OR(B133="",C133="",D133="",F133=""),"Date incomplete. ","")&amp;IF(AND(D133&lt;&gt;"",E133=""),"Cod necunoscut. ","")&amp;IF(AND(J133=1,C133&lt;&gt;"Retur de la client",C133&lt;&gt;"Ajustare inventar +",G133=""),"Lipsește prețul de intrare. ","")&amp;IF(AND(J133=-1,D133&lt;&gt;"",SUMIFS($K$5:$K$2004,$D$5:$D$2004,D133,$B$5:$B$2004,"&lt;="&amp;B133)&lt;0),"Stoc insuficient la această dată. ","")&amp;IF(AND(C133&lt;&gt;"Stoc inițial",H133=""),"Lipsește documentul. ","")))</f>
        <v/>
      </c>
    </row>
    <row r="134" spans="2:14" x14ac:dyDescent="0.2">
      <c r="B134" s="15">
        <f>DATE(2026,9,10)</f>
        <v>46275</v>
      </c>
      <c r="C134" s="6" t="s">
        <v>16</v>
      </c>
      <c r="D134" s="12" t="s">
        <v>74</v>
      </c>
      <c r="E134" s="10" t="str">
        <f t="shared" si="11"/>
        <v>Bandă izolatoare 19 mm</v>
      </c>
      <c r="F134" s="16">
        <v>6</v>
      </c>
      <c r="G134" s="13"/>
      <c r="H134" s="6" t="s">
        <v>214</v>
      </c>
      <c r="I134" s="6" t="s">
        <v>145</v>
      </c>
      <c r="J134" s="11">
        <f t="shared" si="12"/>
        <v>-1</v>
      </c>
      <c r="K134" s="17">
        <f t="shared" si="13"/>
        <v>-6</v>
      </c>
      <c r="L134" s="18" t="str">
        <f t="shared" si="14"/>
        <v/>
      </c>
      <c r="M134" s="18">
        <f>IF(J134&lt;&gt;-1,"",ROUND(F134*IFERROR(INDEX(Stocuri!$G$5:$G$204,MATCH(D134,Coduri,0)),0),2))</f>
        <v>12.6</v>
      </c>
      <c r="N134" s="19" t="str">
        <f t="shared" si="15"/>
        <v/>
      </c>
    </row>
    <row r="135" spans="2:14" x14ac:dyDescent="0.2">
      <c r="B135" s="15">
        <f>DATE(2026,9,14)</f>
        <v>46279</v>
      </c>
      <c r="C135" s="6" t="s">
        <v>15</v>
      </c>
      <c r="D135" s="12" t="s">
        <v>51</v>
      </c>
      <c r="E135" s="10" t="str">
        <f t="shared" si="11"/>
        <v>Întrerupător simplu Schneider Sedna</v>
      </c>
      <c r="F135" s="16">
        <v>9</v>
      </c>
      <c r="G135" s="13"/>
      <c r="H135" s="6" t="s">
        <v>215</v>
      </c>
      <c r="I135" s="6" t="s">
        <v>92</v>
      </c>
      <c r="J135" s="11">
        <f t="shared" si="12"/>
        <v>-1</v>
      </c>
      <c r="K135" s="17">
        <f t="shared" si="13"/>
        <v>-9</v>
      </c>
      <c r="L135" s="18" t="str">
        <f t="shared" si="14"/>
        <v/>
      </c>
      <c r="M135" s="18">
        <f>IF(J135&lt;&gt;-1,"",ROUND(F135*IFERROR(INDEX(Stocuri!$G$5:$G$204,MATCH(D135,Coduri,0)),0),2))</f>
        <v>87.12</v>
      </c>
      <c r="N135" s="19" t="str">
        <f t="shared" si="15"/>
        <v/>
      </c>
    </row>
    <row r="136" spans="2:14" x14ac:dyDescent="0.2">
      <c r="B136" s="15">
        <f>DATE(2026,9,14)</f>
        <v>46279</v>
      </c>
      <c r="C136" s="6" t="s">
        <v>15</v>
      </c>
      <c r="D136" s="12" t="s">
        <v>64</v>
      </c>
      <c r="E136" s="10" t="str">
        <f t="shared" si="11"/>
        <v>Corp iluminat LED 36W</v>
      </c>
      <c r="F136" s="16">
        <v>6</v>
      </c>
      <c r="G136" s="13"/>
      <c r="H136" s="6" t="s">
        <v>216</v>
      </c>
      <c r="I136" s="6" t="s">
        <v>94</v>
      </c>
      <c r="J136" s="11">
        <f t="shared" si="12"/>
        <v>-1</v>
      </c>
      <c r="K136" s="17">
        <f t="shared" si="13"/>
        <v>-6</v>
      </c>
      <c r="L136" s="18" t="str">
        <f t="shared" si="14"/>
        <v/>
      </c>
      <c r="M136" s="18">
        <f>IF(J136&lt;&gt;-1,"",ROUND(F136*IFERROR(INDEX(Stocuri!$G$5:$G$204,MATCH(D136,Coduri,0)),0),2))</f>
        <v>368.4</v>
      </c>
      <c r="N136" s="19" t="str">
        <f t="shared" si="15"/>
        <v/>
      </c>
    </row>
    <row r="137" spans="2:14" x14ac:dyDescent="0.2">
      <c r="B137" s="15">
        <f>DATE(2026,9,14)</f>
        <v>46279</v>
      </c>
      <c r="C137" s="6" t="s">
        <v>15</v>
      </c>
      <c r="D137" s="12" t="s">
        <v>77</v>
      </c>
      <c r="E137" s="10" t="str">
        <f t="shared" si="11"/>
        <v>Cablu MYF 1,5 mm</v>
      </c>
      <c r="F137" s="16">
        <v>50</v>
      </c>
      <c r="G137" s="13"/>
      <c r="H137" s="6" t="s">
        <v>217</v>
      </c>
      <c r="I137" s="6" t="s">
        <v>96</v>
      </c>
      <c r="J137" s="11">
        <f t="shared" si="12"/>
        <v>-1</v>
      </c>
      <c r="K137" s="17">
        <f t="shared" si="13"/>
        <v>-50</v>
      </c>
      <c r="L137" s="18" t="str">
        <f t="shared" si="14"/>
        <v/>
      </c>
      <c r="M137" s="18">
        <f>IF(J137&lt;&gt;-1,"",ROUND(F137*IFERROR(INDEX(Stocuri!$G$5:$G$204,MATCH(D137,Coduri,0)),0),2))</f>
        <v>53.57</v>
      </c>
      <c r="N137" s="19" t="str">
        <f t="shared" si="15"/>
        <v/>
      </c>
    </row>
    <row r="138" spans="2:14" x14ac:dyDescent="0.2">
      <c r="B138" s="15">
        <f>DATE(2026,9,15)</f>
        <v>46280</v>
      </c>
      <c r="C138" s="6" t="s">
        <v>15</v>
      </c>
      <c r="D138" s="12" t="s">
        <v>39</v>
      </c>
      <c r="E138" s="10" t="str">
        <f t="shared" si="11"/>
        <v>Cablu CYY-F 3x2,5</v>
      </c>
      <c r="F138" s="16">
        <v>110</v>
      </c>
      <c r="G138" s="13"/>
      <c r="H138" s="6" t="s">
        <v>218</v>
      </c>
      <c r="I138" s="6" t="s">
        <v>98</v>
      </c>
      <c r="J138" s="11">
        <f t="shared" si="12"/>
        <v>-1</v>
      </c>
      <c r="K138" s="17">
        <f t="shared" si="13"/>
        <v>-110</v>
      </c>
      <c r="L138" s="18" t="str">
        <f t="shared" si="14"/>
        <v/>
      </c>
      <c r="M138" s="18">
        <f>IF(J138&lt;&gt;-1,"",ROUND(F138*IFERROR(INDEX(Stocuri!$G$5:$G$204,MATCH(D138,Coduri,0)),0),2))</f>
        <v>394.9</v>
      </c>
      <c r="N138" s="19" t="str">
        <f t="shared" si="15"/>
        <v/>
      </c>
    </row>
    <row r="139" spans="2:14" x14ac:dyDescent="0.2">
      <c r="B139" s="15">
        <f>DATE(2026,9,15)</f>
        <v>46280</v>
      </c>
      <c r="C139" s="6" t="s">
        <v>12</v>
      </c>
      <c r="D139" s="12" t="s">
        <v>51</v>
      </c>
      <c r="E139" s="10" t="str">
        <f t="shared" si="11"/>
        <v>Întrerupător simplu Schneider Sedna</v>
      </c>
      <c r="F139" s="16">
        <v>80</v>
      </c>
      <c r="G139" s="13">
        <v>9.8000000000000007</v>
      </c>
      <c r="H139" s="6" t="s">
        <v>219</v>
      </c>
      <c r="I139" s="6" t="s">
        <v>53</v>
      </c>
      <c r="J139" s="11">
        <f t="shared" si="12"/>
        <v>1</v>
      </c>
      <c r="K139" s="17">
        <f t="shared" si="13"/>
        <v>80</v>
      </c>
      <c r="L139" s="18">
        <f t="shared" si="14"/>
        <v>784</v>
      </c>
      <c r="M139" s="18" t="str">
        <f>IF(J139&lt;&gt;-1,"",ROUND(F139*IFERROR(INDEX(Stocuri!$G$5:$G$204,MATCH(D139,Coduri,0)),0),2))</f>
        <v/>
      </c>
      <c r="N139" s="19" t="str">
        <f t="shared" si="15"/>
        <v/>
      </c>
    </row>
    <row r="140" spans="2:14" x14ac:dyDescent="0.2">
      <c r="B140" s="15">
        <f>DATE(2026,9,15)</f>
        <v>46280</v>
      </c>
      <c r="C140" s="6" t="s">
        <v>15</v>
      </c>
      <c r="D140" s="12" t="s">
        <v>55</v>
      </c>
      <c r="E140" s="10" t="str">
        <f t="shared" si="11"/>
        <v>Priză dublă cu împământare</v>
      </c>
      <c r="F140" s="16">
        <v>5</v>
      </c>
      <c r="G140" s="13"/>
      <c r="H140" s="6" t="s">
        <v>220</v>
      </c>
      <c r="I140" s="6" t="s">
        <v>100</v>
      </c>
      <c r="J140" s="11">
        <f t="shared" si="12"/>
        <v>-1</v>
      </c>
      <c r="K140" s="17">
        <f t="shared" si="13"/>
        <v>-5</v>
      </c>
      <c r="L140" s="18" t="str">
        <f t="shared" si="14"/>
        <v/>
      </c>
      <c r="M140" s="18">
        <f>IF(J140&lt;&gt;-1,"",ROUND(F140*IFERROR(INDEX(Stocuri!$G$5:$G$204,MATCH(D140,Coduri,0)),0),2))</f>
        <v>63.5</v>
      </c>
      <c r="N140" s="19" t="str">
        <f t="shared" si="15"/>
        <v/>
      </c>
    </row>
    <row r="141" spans="2:14" x14ac:dyDescent="0.2">
      <c r="B141" s="15">
        <f>DATE(2026,9,15)</f>
        <v>46280</v>
      </c>
      <c r="C141" s="6" t="s">
        <v>15</v>
      </c>
      <c r="D141" s="12" t="s">
        <v>68</v>
      </c>
      <c r="E141" s="10" t="str">
        <f t="shared" si="11"/>
        <v>Bec LED E27 9W</v>
      </c>
      <c r="F141" s="16">
        <v>10</v>
      </c>
      <c r="G141" s="13"/>
      <c r="H141" s="6" t="s">
        <v>221</v>
      </c>
      <c r="I141" s="6" t="s">
        <v>92</v>
      </c>
      <c r="J141" s="11">
        <f t="shared" si="12"/>
        <v>-1</v>
      </c>
      <c r="K141" s="17">
        <f t="shared" si="13"/>
        <v>-10</v>
      </c>
      <c r="L141" s="18" t="str">
        <f t="shared" si="14"/>
        <v/>
      </c>
      <c r="M141" s="18">
        <f>IF(J141&lt;&gt;-1,"",ROUND(F141*IFERROR(INDEX(Stocuri!$G$5:$G$204,MATCH(D141,Coduri,0)),0),2))</f>
        <v>64.569999999999993</v>
      </c>
      <c r="N141" s="19" t="str">
        <f t="shared" si="15"/>
        <v/>
      </c>
    </row>
    <row r="142" spans="2:14" x14ac:dyDescent="0.2">
      <c r="B142" s="15">
        <f>DATE(2026,9,16)</f>
        <v>46281</v>
      </c>
      <c r="C142" s="6" t="s">
        <v>15</v>
      </c>
      <c r="D142" s="12" t="s">
        <v>44</v>
      </c>
      <c r="E142" s="10" t="str">
        <f t="shared" si="11"/>
        <v>Tub flexibil PVC 20 mm</v>
      </c>
      <c r="F142" s="16">
        <v>50</v>
      </c>
      <c r="G142" s="13"/>
      <c r="H142" s="6" t="s">
        <v>222</v>
      </c>
      <c r="I142" s="6" t="s">
        <v>96</v>
      </c>
      <c r="J142" s="11">
        <f t="shared" si="12"/>
        <v>-1</v>
      </c>
      <c r="K142" s="17">
        <f t="shared" si="13"/>
        <v>-50</v>
      </c>
      <c r="L142" s="18" t="str">
        <f t="shared" si="14"/>
        <v/>
      </c>
      <c r="M142" s="18">
        <f>IF(J142&lt;&gt;-1,"",ROUND(F142*IFERROR(INDEX(Stocuri!$G$5:$G$204,MATCH(D142,Coduri,0)),0),2))</f>
        <v>58.44</v>
      </c>
      <c r="N142" s="19" t="str">
        <f t="shared" si="15"/>
        <v/>
      </c>
    </row>
    <row r="143" spans="2:14" x14ac:dyDescent="0.2">
      <c r="B143" s="15">
        <f>DATE(2026,9,16)</f>
        <v>46281</v>
      </c>
      <c r="C143" s="6" t="s">
        <v>15</v>
      </c>
      <c r="D143" s="12" t="s">
        <v>58</v>
      </c>
      <c r="E143" s="10" t="str">
        <f t="shared" si="11"/>
        <v>Tablou electric 12 module</v>
      </c>
      <c r="F143" s="16">
        <v>1</v>
      </c>
      <c r="G143" s="13"/>
      <c r="H143" s="6" t="s">
        <v>223</v>
      </c>
      <c r="I143" s="6" t="s">
        <v>98</v>
      </c>
      <c r="J143" s="11">
        <f t="shared" si="12"/>
        <v>-1</v>
      </c>
      <c r="K143" s="17">
        <f t="shared" si="13"/>
        <v>-1</v>
      </c>
      <c r="L143" s="18" t="str">
        <f t="shared" si="14"/>
        <v/>
      </c>
      <c r="M143" s="18">
        <f>IF(J143&lt;&gt;-1,"",ROUND(F143*IFERROR(INDEX(Stocuri!$G$5:$G$204,MATCH(D143,Coduri,0)),0),2))</f>
        <v>96.67</v>
      </c>
      <c r="N143" s="19" t="str">
        <f t="shared" si="15"/>
        <v/>
      </c>
    </row>
    <row r="144" spans="2:14" x14ac:dyDescent="0.2">
      <c r="B144" s="15">
        <f>DATE(2026,9,17)</f>
        <v>46282</v>
      </c>
      <c r="C144" s="6" t="s">
        <v>15</v>
      </c>
      <c r="D144" s="12" t="s">
        <v>47</v>
      </c>
      <c r="E144" s="10" t="str">
        <f t="shared" si="11"/>
        <v>Doză aparat îngropată</v>
      </c>
      <c r="F144" s="16">
        <v>50</v>
      </c>
      <c r="G144" s="13"/>
      <c r="H144" s="6" t="s">
        <v>224</v>
      </c>
      <c r="I144" s="6" t="s">
        <v>94</v>
      </c>
      <c r="J144" s="11">
        <f t="shared" si="12"/>
        <v>-1</v>
      </c>
      <c r="K144" s="17">
        <f t="shared" si="13"/>
        <v>-50</v>
      </c>
      <c r="L144" s="18" t="str">
        <f t="shared" si="14"/>
        <v/>
      </c>
      <c r="M144" s="18">
        <f>IF(J144&lt;&gt;-1,"",ROUND(F144*IFERROR(INDEX(Stocuri!$G$5:$G$204,MATCH(D144,Coduri,0)),0),2))</f>
        <v>34.450000000000003</v>
      </c>
      <c r="N144" s="19" t="str">
        <f t="shared" si="15"/>
        <v/>
      </c>
    </row>
    <row r="145" spans="2:14" x14ac:dyDescent="0.2">
      <c r="B145" s="15">
        <f>DATE(2026,9,17)</f>
        <v>46282</v>
      </c>
      <c r="C145" s="6" t="s">
        <v>15</v>
      </c>
      <c r="D145" s="12" t="s">
        <v>61</v>
      </c>
      <c r="E145" s="10" t="str">
        <f t="shared" si="11"/>
        <v>Siguranță automată 16A</v>
      </c>
      <c r="F145" s="16">
        <v>15</v>
      </c>
      <c r="G145" s="13"/>
      <c r="H145" s="6" t="s">
        <v>225</v>
      </c>
      <c r="I145" s="6" t="s">
        <v>96</v>
      </c>
      <c r="J145" s="11">
        <f t="shared" si="12"/>
        <v>-1</v>
      </c>
      <c r="K145" s="17">
        <f t="shared" si="13"/>
        <v>-15</v>
      </c>
      <c r="L145" s="18" t="str">
        <f t="shared" si="14"/>
        <v/>
      </c>
      <c r="M145" s="18">
        <f>IF(J145&lt;&gt;-1,"",ROUND(F145*IFERROR(INDEX(Stocuri!$G$5:$G$204,MATCH(D145,Coduri,0)),0),2))</f>
        <v>226.29</v>
      </c>
      <c r="N145" s="19" t="str">
        <f t="shared" si="15"/>
        <v/>
      </c>
    </row>
    <row r="146" spans="2:14" x14ac:dyDescent="0.2">
      <c r="B146" s="15">
        <f>DATE(2026,9,17)</f>
        <v>46282</v>
      </c>
      <c r="C146" s="6" t="s">
        <v>15</v>
      </c>
      <c r="D146" s="12" t="s">
        <v>74</v>
      </c>
      <c r="E146" s="10" t="str">
        <f t="shared" si="11"/>
        <v>Bandă izolatoare 19 mm</v>
      </c>
      <c r="F146" s="16">
        <v>6</v>
      </c>
      <c r="G146" s="13"/>
      <c r="H146" s="6" t="s">
        <v>226</v>
      </c>
      <c r="I146" s="6" t="s">
        <v>98</v>
      </c>
      <c r="J146" s="11">
        <f t="shared" si="12"/>
        <v>-1</v>
      </c>
      <c r="K146" s="17">
        <f t="shared" si="13"/>
        <v>-6</v>
      </c>
      <c r="L146" s="18" t="str">
        <f t="shared" si="14"/>
        <v/>
      </c>
      <c r="M146" s="18">
        <f>IF(J146&lt;&gt;-1,"",ROUND(F146*IFERROR(INDEX(Stocuri!$G$5:$G$204,MATCH(D146,Coduri,0)),0),2))</f>
        <v>12.6</v>
      </c>
      <c r="N146" s="19" t="str">
        <f t="shared" si="15"/>
        <v/>
      </c>
    </row>
    <row r="147" spans="2:14" x14ac:dyDescent="0.2">
      <c r="B147" s="15">
        <f>DATE(2026,9,20)</f>
        <v>46285</v>
      </c>
      <c r="C147" s="6" t="s">
        <v>12</v>
      </c>
      <c r="D147" s="12" t="s">
        <v>39</v>
      </c>
      <c r="E147" s="10" t="str">
        <f t="shared" si="11"/>
        <v>Cablu CYY-F 3x2,5</v>
      </c>
      <c r="F147" s="16">
        <v>600</v>
      </c>
      <c r="G147" s="13">
        <v>3.7</v>
      </c>
      <c r="H147" s="6" t="s">
        <v>227</v>
      </c>
      <c r="I147" s="6" t="s">
        <v>42</v>
      </c>
      <c r="J147" s="11">
        <f t="shared" si="12"/>
        <v>1</v>
      </c>
      <c r="K147" s="17">
        <f t="shared" si="13"/>
        <v>600</v>
      </c>
      <c r="L147" s="18">
        <f t="shared" si="14"/>
        <v>2220</v>
      </c>
      <c r="M147" s="18" t="str">
        <f>IF(J147&lt;&gt;-1,"",ROUND(F147*IFERROR(INDEX(Stocuri!$G$5:$G$204,MATCH(D147,Coduri,0)),0),2))</f>
        <v/>
      </c>
      <c r="N147" s="19" t="str">
        <f t="shared" si="15"/>
        <v/>
      </c>
    </row>
    <row r="148" spans="2:14" x14ac:dyDescent="0.2">
      <c r="B148" s="15">
        <f>DATE(2026,9,21)</f>
        <v>46286</v>
      </c>
      <c r="C148" s="6" t="s">
        <v>15</v>
      </c>
      <c r="D148" s="12" t="s">
        <v>51</v>
      </c>
      <c r="E148" s="10" t="str">
        <f t="shared" si="11"/>
        <v>Întrerupător simplu Schneider Sedna</v>
      </c>
      <c r="F148" s="16">
        <v>9</v>
      </c>
      <c r="G148" s="13"/>
      <c r="H148" s="6" t="s">
        <v>228</v>
      </c>
      <c r="I148" s="6" t="s">
        <v>100</v>
      </c>
      <c r="J148" s="11">
        <f t="shared" si="12"/>
        <v>-1</v>
      </c>
      <c r="K148" s="17">
        <f t="shared" si="13"/>
        <v>-9</v>
      </c>
      <c r="L148" s="18" t="str">
        <f t="shared" si="14"/>
        <v/>
      </c>
      <c r="M148" s="18">
        <f>IF(J148&lt;&gt;-1,"",ROUND(F148*IFERROR(INDEX(Stocuri!$G$5:$G$204,MATCH(D148,Coduri,0)),0),2))</f>
        <v>87.12</v>
      </c>
      <c r="N148" s="19" t="str">
        <f t="shared" si="15"/>
        <v/>
      </c>
    </row>
    <row r="149" spans="2:14" x14ac:dyDescent="0.2">
      <c r="B149" s="15">
        <f>DATE(2026,9,21)</f>
        <v>46286</v>
      </c>
      <c r="C149" s="6" t="s">
        <v>15</v>
      </c>
      <c r="D149" s="12" t="s">
        <v>64</v>
      </c>
      <c r="E149" s="10" t="str">
        <f t="shared" si="11"/>
        <v>Corp iluminat LED 36W</v>
      </c>
      <c r="F149" s="16">
        <v>6</v>
      </c>
      <c r="G149" s="13"/>
      <c r="H149" s="6" t="s">
        <v>229</v>
      </c>
      <c r="I149" s="6" t="s">
        <v>92</v>
      </c>
      <c r="J149" s="11">
        <f t="shared" si="12"/>
        <v>-1</v>
      </c>
      <c r="K149" s="17">
        <f t="shared" si="13"/>
        <v>-6</v>
      </c>
      <c r="L149" s="18" t="str">
        <f t="shared" si="14"/>
        <v/>
      </c>
      <c r="M149" s="18">
        <f>IF(J149&lt;&gt;-1,"",ROUND(F149*IFERROR(INDEX(Stocuri!$G$5:$G$204,MATCH(D149,Coduri,0)),0),2))</f>
        <v>368.4</v>
      </c>
      <c r="N149" s="19" t="str">
        <f t="shared" si="15"/>
        <v/>
      </c>
    </row>
    <row r="150" spans="2:14" x14ac:dyDescent="0.2">
      <c r="B150" s="15">
        <f>DATE(2026,9,21)</f>
        <v>46286</v>
      </c>
      <c r="C150" s="6" t="s">
        <v>15</v>
      </c>
      <c r="D150" s="12" t="s">
        <v>77</v>
      </c>
      <c r="E150" s="10" t="str">
        <f t="shared" si="11"/>
        <v>Cablu MYF 1,5 mm</v>
      </c>
      <c r="F150" s="16">
        <v>50</v>
      </c>
      <c r="G150" s="13"/>
      <c r="H150" s="6" t="s">
        <v>230</v>
      </c>
      <c r="I150" s="6" t="s">
        <v>94</v>
      </c>
      <c r="J150" s="11">
        <f t="shared" si="12"/>
        <v>-1</v>
      </c>
      <c r="K150" s="17">
        <f t="shared" si="13"/>
        <v>-50</v>
      </c>
      <c r="L150" s="18" t="str">
        <f t="shared" si="14"/>
        <v/>
      </c>
      <c r="M150" s="18">
        <f>IF(J150&lt;&gt;-1,"",ROUND(F150*IFERROR(INDEX(Stocuri!$G$5:$G$204,MATCH(D150,Coduri,0)),0),2))</f>
        <v>53.57</v>
      </c>
      <c r="N150" s="19" t="str">
        <f t="shared" si="15"/>
        <v/>
      </c>
    </row>
    <row r="151" spans="2:14" x14ac:dyDescent="0.2">
      <c r="B151" s="15">
        <f>DATE(2026,9,22)</f>
        <v>46287</v>
      </c>
      <c r="C151" s="6" t="s">
        <v>15</v>
      </c>
      <c r="D151" s="12" t="s">
        <v>39</v>
      </c>
      <c r="E151" s="10" t="str">
        <f t="shared" si="11"/>
        <v>Cablu CYY-F 3x2,5</v>
      </c>
      <c r="F151" s="16">
        <v>110</v>
      </c>
      <c r="G151" s="13"/>
      <c r="H151" s="6" t="s">
        <v>231</v>
      </c>
      <c r="I151" s="6" t="s">
        <v>96</v>
      </c>
      <c r="J151" s="11">
        <f t="shared" si="12"/>
        <v>-1</v>
      </c>
      <c r="K151" s="17">
        <f t="shared" si="13"/>
        <v>-110</v>
      </c>
      <c r="L151" s="18" t="str">
        <f t="shared" si="14"/>
        <v/>
      </c>
      <c r="M151" s="18">
        <f>IF(J151&lt;&gt;-1,"",ROUND(F151*IFERROR(INDEX(Stocuri!$G$5:$G$204,MATCH(D151,Coduri,0)),0),2))</f>
        <v>394.9</v>
      </c>
      <c r="N151" s="19" t="str">
        <f t="shared" si="15"/>
        <v/>
      </c>
    </row>
    <row r="152" spans="2:14" x14ac:dyDescent="0.2">
      <c r="B152" s="15">
        <f>DATE(2026,9,22)</f>
        <v>46287</v>
      </c>
      <c r="C152" s="6" t="s">
        <v>15</v>
      </c>
      <c r="D152" s="12" t="s">
        <v>55</v>
      </c>
      <c r="E152" s="10" t="str">
        <f t="shared" si="11"/>
        <v>Priză dublă cu împământare</v>
      </c>
      <c r="F152" s="16">
        <v>5</v>
      </c>
      <c r="G152" s="13"/>
      <c r="H152" s="6" t="s">
        <v>232</v>
      </c>
      <c r="I152" s="6" t="s">
        <v>98</v>
      </c>
      <c r="J152" s="11">
        <f t="shared" si="12"/>
        <v>-1</v>
      </c>
      <c r="K152" s="17">
        <f t="shared" si="13"/>
        <v>-5</v>
      </c>
      <c r="L152" s="18" t="str">
        <f t="shared" si="14"/>
        <v/>
      </c>
      <c r="M152" s="18">
        <f>IF(J152&lt;&gt;-1,"",ROUND(F152*IFERROR(INDEX(Stocuri!$G$5:$G$204,MATCH(D152,Coduri,0)),0),2))</f>
        <v>63.5</v>
      </c>
      <c r="N152" s="19" t="str">
        <f t="shared" si="15"/>
        <v/>
      </c>
    </row>
    <row r="153" spans="2:14" x14ac:dyDescent="0.2">
      <c r="B153" s="15">
        <f>DATE(2026,9,22)</f>
        <v>46287</v>
      </c>
      <c r="C153" s="6" t="s">
        <v>15</v>
      </c>
      <c r="D153" s="12" t="s">
        <v>68</v>
      </c>
      <c r="E153" s="10" t="str">
        <f t="shared" si="11"/>
        <v>Bec LED E27 9W</v>
      </c>
      <c r="F153" s="16">
        <v>10</v>
      </c>
      <c r="G153" s="13"/>
      <c r="H153" s="6" t="s">
        <v>233</v>
      </c>
      <c r="I153" s="6" t="s">
        <v>100</v>
      </c>
      <c r="J153" s="11">
        <f t="shared" si="12"/>
        <v>-1</v>
      </c>
      <c r="K153" s="17">
        <f t="shared" si="13"/>
        <v>-10</v>
      </c>
      <c r="L153" s="18" t="str">
        <f t="shared" si="14"/>
        <v/>
      </c>
      <c r="M153" s="18">
        <f>IF(J153&lt;&gt;-1,"",ROUND(F153*IFERROR(INDEX(Stocuri!$G$5:$G$204,MATCH(D153,Coduri,0)),0),2))</f>
        <v>64.569999999999993</v>
      </c>
      <c r="N153" s="19" t="str">
        <f t="shared" si="15"/>
        <v/>
      </c>
    </row>
    <row r="154" spans="2:14" x14ac:dyDescent="0.2">
      <c r="B154" s="15">
        <f>DATE(2026,9,23)</f>
        <v>46288</v>
      </c>
      <c r="C154" s="6" t="s">
        <v>15</v>
      </c>
      <c r="D154" s="12" t="s">
        <v>44</v>
      </c>
      <c r="E154" s="10" t="str">
        <f t="shared" si="11"/>
        <v>Tub flexibil PVC 20 mm</v>
      </c>
      <c r="F154" s="16">
        <v>50</v>
      </c>
      <c r="G154" s="13"/>
      <c r="H154" s="6" t="s">
        <v>234</v>
      </c>
      <c r="I154" s="6" t="s">
        <v>94</v>
      </c>
      <c r="J154" s="11">
        <f t="shared" si="12"/>
        <v>-1</v>
      </c>
      <c r="K154" s="17">
        <f t="shared" si="13"/>
        <v>-50</v>
      </c>
      <c r="L154" s="18" t="str">
        <f t="shared" si="14"/>
        <v/>
      </c>
      <c r="M154" s="18">
        <f>IF(J154&lt;&gt;-1,"",ROUND(F154*IFERROR(INDEX(Stocuri!$G$5:$G$204,MATCH(D154,Coduri,0)),0),2))</f>
        <v>58.44</v>
      </c>
      <c r="N154" s="19" t="str">
        <f t="shared" si="15"/>
        <v/>
      </c>
    </row>
    <row r="155" spans="2:14" x14ac:dyDescent="0.2">
      <c r="B155" s="15">
        <f>DATE(2026,9,23)</f>
        <v>46288</v>
      </c>
      <c r="C155" s="6" t="s">
        <v>15</v>
      </c>
      <c r="D155" s="12" t="s">
        <v>58</v>
      </c>
      <c r="E155" s="10" t="str">
        <f t="shared" si="11"/>
        <v>Tablou electric 12 module</v>
      </c>
      <c r="F155" s="16">
        <v>2</v>
      </c>
      <c r="G155" s="13"/>
      <c r="H155" s="6" t="s">
        <v>235</v>
      </c>
      <c r="I155" s="6" t="s">
        <v>96</v>
      </c>
      <c r="J155" s="11">
        <f t="shared" si="12"/>
        <v>-1</v>
      </c>
      <c r="K155" s="17">
        <f t="shared" si="13"/>
        <v>-2</v>
      </c>
      <c r="L155" s="18" t="str">
        <f t="shared" si="14"/>
        <v/>
      </c>
      <c r="M155" s="18">
        <f>IF(J155&lt;&gt;-1,"",ROUND(F155*IFERROR(INDEX(Stocuri!$G$5:$G$204,MATCH(D155,Coduri,0)),0),2))</f>
        <v>193.33</v>
      </c>
      <c r="N155" s="19" t="str">
        <f t="shared" si="15"/>
        <v/>
      </c>
    </row>
    <row r="156" spans="2:14" x14ac:dyDescent="0.2">
      <c r="B156" s="15">
        <f>DATE(2026,9,24)</f>
        <v>46289</v>
      </c>
      <c r="C156" s="6" t="s">
        <v>15</v>
      </c>
      <c r="D156" s="12" t="s">
        <v>47</v>
      </c>
      <c r="E156" s="10" t="str">
        <f t="shared" si="11"/>
        <v>Doză aparat îngropată</v>
      </c>
      <c r="F156" s="16">
        <v>50</v>
      </c>
      <c r="G156" s="13"/>
      <c r="H156" s="6" t="s">
        <v>236</v>
      </c>
      <c r="I156" s="6" t="s">
        <v>92</v>
      </c>
      <c r="J156" s="11">
        <f t="shared" si="12"/>
        <v>-1</v>
      </c>
      <c r="K156" s="17">
        <f t="shared" si="13"/>
        <v>-50</v>
      </c>
      <c r="L156" s="18" t="str">
        <f t="shared" si="14"/>
        <v/>
      </c>
      <c r="M156" s="18">
        <f>IF(J156&lt;&gt;-1,"",ROUND(F156*IFERROR(INDEX(Stocuri!$G$5:$G$204,MATCH(D156,Coduri,0)),0),2))</f>
        <v>34.450000000000003</v>
      </c>
      <c r="N156" s="19" t="str">
        <f t="shared" si="15"/>
        <v/>
      </c>
    </row>
    <row r="157" spans="2:14" x14ac:dyDescent="0.2">
      <c r="B157" s="15">
        <f>DATE(2026,9,24)</f>
        <v>46289</v>
      </c>
      <c r="C157" s="6" t="s">
        <v>15</v>
      </c>
      <c r="D157" s="12" t="s">
        <v>61</v>
      </c>
      <c r="E157" s="10" t="str">
        <f t="shared" si="11"/>
        <v>Siguranță automată 16A</v>
      </c>
      <c r="F157" s="16">
        <v>15</v>
      </c>
      <c r="G157" s="13"/>
      <c r="H157" s="6" t="s">
        <v>237</v>
      </c>
      <c r="I157" s="6" t="s">
        <v>94</v>
      </c>
      <c r="J157" s="11">
        <f t="shared" si="12"/>
        <v>-1</v>
      </c>
      <c r="K157" s="17">
        <f t="shared" si="13"/>
        <v>-15</v>
      </c>
      <c r="L157" s="18" t="str">
        <f t="shared" si="14"/>
        <v/>
      </c>
      <c r="M157" s="18">
        <f>IF(J157&lt;&gt;-1,"",ROUND(F157*IFERROR(INDEX(Stocuri!$G$5:$G$204,MATCH(D157,Coduri,0)),0),2))</f>
        <v>226.29</v>
      </c>
      <c r="N157" s="19" t="str">
        <f t="shared" si="15"/>
        <v/>
      </c>
    </row>
    <row r="158" spans="2:14" x14ac:dyDescent="0.2">
      <c r="B158" s="15">
        <f>DATE(2026,9,24)</f>
        <v>46289</v>
      </c>
      <c r="C158" s="6" t="s">
        <v>15</v>
      </c>
      <c r="D158" s="12" t="s">
        <v>74</v>
      </c>
      <c r="E158" s="10" t="str">
        <f t="shared" si="11"/>
        <v>Bandă izolatoare 19 mm</v>
      </c>
      <c r="F158" s="16">
        <v>6</v>
      </c>
      <c r="G158" s="13"/>
      <c r="H158" s="6" t="s">
        <v>238</v>
      </c>
      <c r="I158" s="6" t="s">
        <v>96</v>
      </c>
      <c r="J158" s="11">
        <f t="shared" si="12"/>
        <v>-1</v>
      </c>
      <c r="K158" s="17">
        <f t="shared" si="13"/>
        <v>-6</v>
      </c>
      <c r="L158" s="18" t="str">
        <f t="shared" si="14"/>
        <v/>
      </c>
      <c r="M158" s="18">
        <f>IF(J158&lt;&gt;-1,"",ROUND(F158*IFERROR(INDEX(Stocuri!$G$5:$G$204,MATCH(D158,Coduri,0)),0),2))</f>
        <v>12.6</v>
      </c>
      <c r="N158" s="19" t="str">
        <f t="shared" si="15"/>
        <v/>
      </c>
    </row>
    <row r="159" spans="2:14" x14ac:dyDescent="0.2">
      <c r="B159" s="15">
        <f>DATE(2026,9,28)</f>
        <v>46293</v>
      </c>
      <c r="C159" s="6" t="s">
        <v>15</v>
      </c>
      <c r="D159" s="12" t="s">
        <v>51</v>
      </c>
      <c r="E159" s="10" t="str">
        <f t="shared" si="11"/>
        <v>Întrerupător simplu Schneider Sedna</v>
      </c>
      <c r="F159" s="16">
        <v>9</v>
      </c>
      <c r="G159" s="13"/>
      <c r="H159" s="6" t="s">
        <v>239</v>
      </c>
      <c r="I159" s="6" t="s">
        <v>98</v>
      </c>
      <c r="J159" s="11">
        <f t="shared" si="12"/>
        <v>-1</v>
      </c>
      <c r="K159" s="17">
        <f t="shared" si="13"/>
        <v>-9</v>
      </c>
      <c r="L159" s="18" t="str">
        <f t="shared" si="14"/>
        <v/>
      </c>
      <c r="M159" s="18">
        <f>IF(J159&lt;&gt;-1,"",ROUND(F159*IFERROR(INDEX(Stocuri!$G$5:$G$204,MATCH(D159,Coduri,0)),0),2))</f>
        <v>87.12</v>
      </c>
      <c r="N159" s="19" t="str">
        <f t="shared" si="15"/>
        <v/>
      </c>
    </row>
    <row r="160" spans="2:14" x14ac:dyDescent="0.2">
      <c r="B160" s="15">
        <f>DATE(2026,9,28)</f>
        <v>46293</v>
      </c>
      <c r="C160" s="6" t="s">
        <v>15</v>
      </c>
      <c r="D160" s="12" t="s">
        <v>64</v>
      </c>
      <c r="E160" s="10" t="str">
        <f t="shared" si="11"/>
        <v>Corp iluminat LED 36W</v>
      </c>
      <c r="F160" s="16">
        <v>6</v>
      </c>
      <c r="G160" s="13"/>
      <c r="H160" s="6" t="s">
        <v>240</v>
      </c>
      <c r="I160" s="6" t="s">
        <v>100</v>
      </c>
      <c r="J160" s="11">
        <f t="shared" si="12"/>
        <v>-1</v>
      </c>
      <c r="K160" s="17">
        <f t="shared" si="13"/>
        <v>-6</v>
      </c>
      <c r="L160" s="18" t="str">
        <f t="shared" si="14"/>
        <v/>
      </c>
      <c r="M160" s="18">
        <f>IF(J160&lt;&gt;-1,"",ROUND(F160*IFERROR(INDEX(Stocuri!$G$5:$G$204,MATCH(D160,Coduri,0)),0),2))</f>
        <v>368.4</v>
      </c>
      <c r="N160" s="19" t="str">
        <f t="shared" si="15"/>
        <v/>
      </c>
    </row>
    <row r="161" spans="2:14" x14ac:dyDescent="0.2">
      <c r="B161" s="15">
        <f>DATE(2026,9,28)</f>
        <v>46293</v>
      </c>
      <c r="C161" s="6" t="s">
        <v>15</v>
      </c>
      <c r="D161" s="12" t="s">
        <v>77</v>
      </c>
      <c r="E161" s="10" t="str">
        <f t="shared" si="11"/>
        <v>Cablu MYF 1,5 mm</v>
      </c>
      <c r="F161" s="16">
        <v>50</v>
      </c>
      <c r="G161" s="13"/>
      <c r="H161" s="6" t="s">
        <v>241</v>
      </c>
      <c r="I161" s="6" t="s">
        <v>92</v>
      </c>
      <c r="J161" s="11">
        <f t="shared" si="12"/>
        <v>-1</v>
      </c>
      <c r="K161" s="17">
        <f t="shared" si="13"/>
        <v>-50</v>
      </c>
      <c r="L161" s="18" t="str">
        <f t="shared" si="14"/>
        <v/>
      </c>
      <c r="M161" s="18">
        <f>IF(J161&lt;&gt;-1,"",ROUND(F161*IFERROR(INDEX(Stocuri!$G$5:$G$204,MATCH(D161,Coduri,0)),0),2))</f>
        <v>53.57</v>
      </c>
      <c r="N161" s="19" t="str">
        <f t="shared" si="15"/>
        <v/>
      </c>
    </row>
    <row r="162" spans="2:14" x14ac:dyDescent="0.2">
      <c r="B162" s="15">
        <f>DATE(2026,9,29)</f>
        <v>46294</v>
      </c>
      <c r="C162" s="6" t="s">
        <v>15</v>
      </c>
      <c r="D162" s="12" t="s">
        <v>39</v>
      </c>
      <c r="E162" s="10" t="str">
        <f t="shared" si="11"/>
        <v>Cablu CYY-F 3x2,5</v>
      </c>
      <c r="F162" s="16">
        <v>110</v>
      </c>
      <c r="G162" s="13"/>
      <c r="H162" s="6" t="s">
        <v>242</v>
      </c>
      <c r="I162" s="6" t="s">
        <v>94</v>
      </c>
      <c r="J162" s="11">
        <f t="shared" si="12"/>
        <v>-1</v>
      </c>
      <c r="K162" s="17">
        <f t="shared" si="13"/>
        <v>-110</v>
      </c>
      <c r="L162" s="18" t="str">
        <f t="shared" si="14"/>
        <v/>
      </c>
      <c r="M162" s="18">
        <f>IF(J162&lt;&gt;-1,"",ROUND(F162*IFERROR(INDEX(Stocuri!$G$5:$G$204,MATCH(D162,Coduri,0)),0),2))</f>
        <v>394.9</v>
      </c>
      <c r="N162" s="19" t="str">
        <f t="shared" si="15"/>
        <v/>
      </c>
    </row>
    <row r="163" spans="2:14" x14ac:dyDescent="0.2">
      <c r="B163" s="15">
        <f>DATE(2026,9,29)</f>
        <v>46294</v>
      </c>
      <c r="C163" s="6" t="s">
        <v>15</v>
      </c>
      <c r="D163" s="12" t="s">
        <v>55</v>
      </c>
      <c r="E163" s="10" t="str">
        <f t="shared" si="11"/>
        <v>Priză dublă cu împământare</v>
      </c>
      <c r="F163" s="16">
        <v>5</v>
      </c>
      <c r="G163" s="13"/>
      <c r="H163" s="6" t="s">
        <v>243</v>
      </c>
      <c r="I163" s="6" t="s">
        <v>96</v>
      </c>
      <c r="J163" s="11">
        <f t="shared" si="12"/>
        <v>-1</v>
      </c>
      <c r="K163" s="17">
        <f t="shared" si="13"/>
        <v>-5</v>
      </c>
      <c r="L163" s="18" t="str">
        <f t="shared" si="14"/>
        <v/>
      </c>
      <c r="M163" s="18">
        <f>IF(J163&lt;&gt;-1,"",ROUND(F163*IFERROR(INDEX(Stocuri!$G$5:$G$204,MATCH(D163,Coduri,0)),0),2))</f>
        <v>63.5</v>
      </c>
      <c r="N163" s="19" t="str">
        <f t="shared" si="15"/>
        <v/>
      </c>
    </row>
    <row r="164" spans="2:14" x14ac:dyDescent="0.2">
      <c r="B164" s="15">
        <f>DATE(2026,9,29)</f>
        <v>46294</v>
      </c>
      <c r="C164" s="6" t="s">
        <v>15</v>
      </c>
      <c r="D164" s="12" t="s">
        <v>68</v>
      </c>
      <c r="E164" s="10" t="str">
        <f t="shared" si="11"/>
        <v>Bec LED E27 9W</v>
      </c>
      <c r="F164" s="16">
        <v>10</v>
      </c>
      <c r="G164" s="13"/>
      <c r="H164" s="6" t="s">
        <v>244</v>
      </c>
      <c r="I164" s="6" t="s">
        <v>98</v>
      </c>
      <c r="J164" s="11">
        <f t="shared" si="12"/>
        <v>-1</v>
      </c>
      <c r="K164" s="17">
        <f t="shared" si="13"/>
        <v>-10</v>
      </c>
      <c r="L164" s="18" t="str">
        <f t="shared" si="14"/>
        <v/>
      </c>
      <c r="M164" s="18">
        <f>IF(J164&lt;&gt;-1,"",ROUND(F164*IFERROR(INDEX(Stocuri!$G$5:$G$204,MATCH(D164,Coduri,0)),0),2))</f>
        <v>64.569999999999993</v>
      </c>
      <c r="N164" s="19" t="str">
        <f t="shared" si="15"/>
        <v/>
      </c>
    </row>
    <row r="165" spans="2:14" x14ac:dyDescent="0.2">
      <c r="B165" s="15">
        <f>DATE(2026,9,30)</f>
        <v>46295</v>
      </c>
      <c r="C165" s="6" t="s">
        <v>18</v>
      </c>
      <c r="D165" s="12" t="s">
        <v>39</v>
      </c>
      <c r="E165" s="10" t="str">
        <f t="shared" si="11"/>
        <v>Cablu CYY-F 3x2,5</v>
      </c>
      <c r="F165" s="16">
        <v>12</v>
      </c>
      <c r="G165" s="13"/>
      <c r="H165" s="6" t="s">
        <v>245</v>
      </c>
      <c r="I165" s="6" t="s">
        <v>246</v>
      </c>
      <c r="J165" s="11">
        <f t="shared" si="12"/>
        <v>-1</v>
      </c>
      <c r="K165" s="17">
        <f t="shared" si="13"/>
        <v>-12</v>
      </c>
      <c r="L165" s="18" t="str">
        <f t="shared" si="14"/>
        <v/>
      </c>
      <c r="M165" s="18">
        <f>IF(J165&lt;&gt;-1,"",ROUND(F165*IFERROR(INDEX(Stocuri!$G$5:$G$204,MATCH(D165,Coduri,0)),0),2))</f>
        <v>43.08</v>
      </c>
      <c r="N165" s="19" t="str">
        <f t="shared" si="15"/>
        <v/>
      </c>
    </row>
    <row r="166" spans="2:14" x14ac:dyDescent="0.2">
      <c r="B166" s="15">
        <f>DATE(2026,9,30)</f>
        <v>46295</v>
      </c>
      <c r="C166" s="6" t="s">
        <v>15</v>
      </c>
      <c r="D166" s="12" t="s">
        <v>44</v>
      </c>
      <c r="E166" s="10" t="str">
        <f t="shared" si="11"/>
        <v>Tub flexibil PVC 20 mm</v>
      </c>
      <c r="F166" s="16">
        <v>50</v>
      </c>
      <c r="G166" s="13"/>
      <c r="H166" s="6" t="s">
        <v>247</v>
      </c>
      <c r="I166" s="6" t="s">
        <v>92</v>
      </c>
      <c r="J166" s="11">
        <f t="shared" si="12"/>
        <v>-1</v>
      </c>
      <c r="K166" s="17">
        <f t="shared" si="13"/>
        <v>-50</v>
      </c>
      <c r="L166" s="18" t="str">
        <f t="shared" si="14"/>
        <v/>
      </c>
      <c r="M166" s="18">
        <f>IF(J166&lt;&gt;-1,"",ROUND(F166*IFERROR(INDEX(Stocuri!$G$5:$G$204,MATCH(D166,Coduri,0)),0),2))</f>
        <v>58.44</v>
      </c>
      <c r="N166" s="19" t="str">
        <f t="shared" si="15"/>
        <v/>
      </c>
    </row>
    <row r="167" spans="2:14" x14ac:dyDescent="0.2">
      <c r="B167" s="15">
        <f>DATE(2026,9,30)</f>
        <v>46295</v>
      </c>
      <c r="C167" s="6" t="s">
        <v>15</v>
      </c>
      <c r="D167" s="12" t="s">
        <v>58</v>
      </c>
      <c r="E167" s="10" t="str">
        <f t="shared" si="11"/>
        <v>Tablou electric 12 module</v>
      </c>
      <c r="F167" s="16">
        <v>1</v>
      </c>
      <c r="G167" s="13"/>
      <c r="H167" s="6" t="s">
        <v>248</v>
      </c>
      <c r="I167" s="6" t="s">
        <v>94</v>
      </c>
      <c r="J167" s="11">
        <f t="shared" si="12"/>
        <v>-1</v>
      </c>
      <c r="K167" s="17">
        <f t="shared" si="13"/>
        <v>-1</v>
      </c>
      <c r="L167" s="18" t="str">
        <f t="shared" si="14"/>
        <v/>
      </c>
      <c r="M167" s="18">
        <f>IF(J167&lt;&gt;-1,"",ROUND(F167*IFERROR(INDEX(Stocuri!$G$5:$G$204,MATCH(D167,Coduri,0)),0),2))</f>
        <v>96.67</v>
      </c>
      <c r="N167" s="19" t="str">
        <f t="shared" si="15"/>
        <v/>
      </c>
    </row>
    <row r="168" spans="2:14" x14ac:dyDescent="0.2">
      <c r="B168" s="15">
        <f>DATE(2026,10,1)</f>
        <v>46296</v>
      </c>
      <c r="C168" s="6" t="s">
        <v>15</v>
      </c>
      <c r="D168" s="12" t="s">
        <v>47</v>
      </c>
      <c r="E168" s="10" t="str">
        <f t="shared" si="11"/>
        <v>Doză aparat îngropată</v>
      </c>
      <c r="F168" s="16">
        <v>50</v>
      </c>
      <c r="G168" s="13"/>
      <c r="H168" s="6" t="s">
        <v>249</v>
      </c>
      <c r="I168" s="6" t="s">
        <v>100</v>
      </c>
      <c r="J168" s="11">
        <f t="shared" si="12"/>
        <v>-1</v>
      </c>
      <c r="K168" s="17">
        <f t="shared" si="13"/>
        <v>-50</v>
      </c>
      <c r="L168" s="18" t="str">
        <f t="shared" si="14"/>
        <v/>
      </c>
      <c r="M168" s="18">
        <f>IF(J168&lt;&gt;-1,"",ROUND(F168*IFERROR(INDEX(Stocuri!$G$5:$G$204,MATCH(D168,Coduri,0)),0),2))</f>
        <v>34.450000000000003</v>
      </c>
      <c r="N168" s="19" t="str">
        <f t="shared" si="15"/>
        <v/>
      </c>
    </row>
    <row r="169" spans="2:14" x14ac:dyDescent="0.2">
      <c r="B169" s="15">
        <f>DATE(2026,10,1)</f>
        <v>46296</v>
      </c>
      <c r="C169" s="6" t="s">
        <v>15</v>
      </c>
      <c r="D169" s="12" t="s">
        <v>61</v>
      </c>
      <c r="E169" s="10" t="str">
        <f t="shared" si="11"/>
        <v>Siguranță automată 16A</v>
      </c>
      <c r="F169" s="16">
        <v>15</v>
      </c>
      <c r="G169" s="13"/>
      <c r="H169" s="6" t="s">
        <v>250</v>
      </c>
      <c r="I169" s="6" t="s">
        <v>92</v>
      </c>
      <c r="J169" s="11">
        <f t="shared" si="12"/>
        <v>-1</v>
      </c>
      <c r="K169" s="17">
        <f t="shared" si="13"/>
        <v>-15</v>
      </c>
      <c r="L169" s="18" t="str">
        <f t="shared" si="14"/>
        <v/>
      </c>
      <c r="M169" s="18">
        <f>IF(J169&lt;&gt;-1,"",ROUND(F169*IFERROR(INDEX(Stocuri!$G$5:$G$204,MATCH(D169,Coduri,0)),0),2))</f>
        <v>226.29</v>
      </c>
      <c r="N169" s="19" t="str">
        <f t="shared" si="15"/>
        <v/>
      </c>
    </row>
    <row r="170" spans="2:14" x14ac:dyDescent="0.2">
      <c r="B170" s="15">
        <f>DATE(2026,10,1)</f>
        <v>46296</v>
      </c>
      <c r="C170" s="6" t="s">
        <v>15</v>
      </c>
      <c r="D170" s="12" t="s">
        <v>74</v>
      </c>
      <c r="E170" s="10" t="str">
        <f t="shared" si="11"/>
        <v>Bandă izolatoare 19 mm</v>
      </c>
      <c r="F170" s="16">
        <v>6</v>
      </c>
      <c r="G170" s="13"/>
      <c r="H170" s="6" t="s">
        <v>251</v>
      </c>
      <c r="I170" s="6" t="s">
        <v>94</v>
      </c>
      <c r="J170" s="11">
        <f t="shared" si="12"/>
        <v>-1</v>
      </c>
      <c r="K170" s="17">
        <f t="shared" si="13"/>
        <v>-6</v>
      </c>
      <c r="L170" s="18" t="str">
        <f t="shared" si="14"/>
        <v/>
      </c>
      <c r="M170" s="18">
        <f>IF(J170&lt;&gt;-1,"",ROUND(F170*IFERROR(INDEX(Stocuri!$G$5:$G$204,MATCH(D170,Coduri,0)),0),2))</f>
        <v>12.6</v>
      </c>
      <c r="N170" s="19" t="str">
        <f t="shared" si="15"/>
        <v/>
      </c>
    </row>
    <row r="171" spans="2:14" x14ac:dyDescent="0.2">
      <c r="B171" s="15">
        <f>DATE(2026,10,5)</f>
        <v>46300</v>
      </c>
      <c r="C171" s="6" t="s">
        <v>15</v>
      </c>
      <c r="D171" s="12" t="s">
        <v>51</v>
      </c>
      <c r="E171" s="10" t="str">
        <f t="shared" si="11"/>
        <v>Întrerupător simplu Schneider Sedna</v>
      </c>
      <c r="F171" s="16">
        <v>9</v>
      </c>
      <c r="G171" s="13"/>
      <c r="H171" s="6" t="s">
        <v>252</v>
      </c>
      <c r="I171" s="6" t="s">
        <v>96</v>
      </c>
      <c r="J171" s="11">
        <f t="shared" si="12"/>
        <v>-1</v>
      </c>
      <c r="K171" s="17">
        <f t="shared" si="13"/>
        <v>-9</v>
      </c>
      <c r="L171" s="18" t="str">
        <f t="shared" si="14"/>
        <v/>
      </c>
      <c r="M171" s="18">
        <f>IF(J171&lt;&gt;-1,"",ROUND(F171*IFERROR(INDEX(Stocuri!$G$5:$G$204,MATCH(D171,Coduri,0)),0),2))</f>
        <v>87.12</v>
      </c>
      <c r="N171" s="19" t="str">
        <f t="shared" si="15"/>
        <v/>
      </c>
    </row>
    <row r="172" spans="2:14" x14ac:dyDescent="0.2">
      <c r="B172" s="15">
        <f>DATE(2026,10,5)</f>
        <v>46300</v>
      </c>
      <c r="C172" s="6" t="s">
        <v>15</v>
      </c>
      <c r="D172" s="12" t="s">
        <v>64</v>
      </c>
      <c r="E172" s="10" t="str">
        <f t="shared" si="11"/>
        <v>Corp iluminat LED 36W</v>
      </c>
      <c r="F172" s="16">
        <v>6</v>
      </c>
      <c r="G172" s="13"/>
      <c r="H172" s="6" t="s">
        <v>253</v>
      </c>
      <c r="I172" s="6" t="s">
        <v>98</v>
      </c>
      <c r="J172" s="11">
        <f t="shared" si="12"/>
        <v>-1</v>
      </c>
      <c r="K172" s="17">
        <f t="shared" si="13"/>
        <v>-6</v>
      </c>
      <c r="L172" s="18" t="str">
        <f t="shared" si="14"/>
        <v/>
      </c>
      <c r="M172" s="18">
        <f>IF(J172&lt;&gt;-1,"",ROUND(F172*IFERROR(INDEX(Stocuri!$G$5:$G$204,MATCH(D172,Coduri,0)),0),2))</f>
        <v>368.4</v>
      </c>
      <c r="N172" s="19" t="str">
        <f t="shared" si="15"/>
        <v/>
      </c>
    </row>
    <row r="173" spans="2:14" x14ac:dyDescent="0.2">
      <c r="B173" s="15">
        <f>DATE(2026,10,5)</f>
        <v>46300</v>
      </c>
      <c r="C173" s="6" t="s">
        <v>15</v>
      </c>
      <c r="D173" s="12" t="s">
        <v>77</v>
      </c>
      <c r="E173" s="10" t="str">
        <f t="shared" si="11"/>
        <v>Cablu MYF 1,5 mm</v>
      </c>
      <c r="F173" s="16">
        <v>50</v>
      </c>
      <c r="G173" s="13"/>
      <c r="H173" s="6" t="s">
        <v>254</v>
      </c>
      <c r="I173" s="6" t="s">
        <v>100</v>
      </c>
      <c r="J173" s="11">
        <f t="shared" si="12"/>
        <v>-1</v>
      </c>
      <c r="K173" s="17">
        <f t="shared" si="13"/>
        <v>-50</v>
      </c>
      <c r="L173" s="18" t="str">
        <f t="shared" si="14"/>
        <v/>
      </c>
      <c r="M173" s="18">
        <f>IF(J173&lt;&gt;-1,"",ROUND(F173*IFERROR(INDEX(Stocuri!$G$5:$G$204,MATCH(D173,Coduri,0)),0),2))</f>
        <v>53.57</v>
      </c>
      <c r="N173" s="19" t="str">
        <f t="shared" si="15"/>
        <v/>
      </c>
    </row>
    <row r="174" spans="2:14" x14ac:dyDescent="0.2">
      <c r="B174" s="15">
        <f>DATE(2026,10,6)</f>
        <v>46301</v>
      </c>
      <c r="C174" s="6" t="s">
        <v>15</v>
      </c>
      <c r="D174" s="12" t="s">
        <v>39</v>
      </c>
      <c r="E174" s="10" t="str">
        <f t="shared" si="11"/>
        <v>Cablu CYY-F 3x2,5</v>
      </c>
      <c r="F174" s="16">
        <v>110</v>
      </c>
      <c r="G174" s="13"/>
      <c r="H174" s="6" t="s">
        <v>255</v>
      </c>
      <c r="I174" s="6" t="s">
        <v>92</v>
      </c>
      <c r="J174" s="11">
        <f t="shared" si="12"/>
        <v>-1</v>
      </c>
      <c r="K174" s="17">
        <f t="shared" si="13"/>
        <v>-110</v>
      </c>
      <c r="L174" s="18" t="str">
        <f t="shared" si="14"/>
        <v/>
      </c>
      <c r="M174" s="18">
        <f>IF(J174&lt;&gt;-1,"",ROUND(F174*IFERROR(INDEX(Stocuri!$G$5:$G$204,MATCH(D174,Coduri,0)),0),2))</f>
        <v>394.9</v>
      </c>
      <c r="N174" s="19" t="str">
        <f t="shared" si="15"/>
        <v/>
      </c>
    </row>
    <row r="175" spans="2:14" x14ac:dyDescent="0.2">
      <c r="B175" s="15">
        <f>DATE(2026,10,6)</f>
        <v>46301</v>
      </c>
      <c r="C175" s="6" t="s">
        <v>15</v>
      </c>
      <c r="D175" s="12" t="s">
        <v>55</v>
      </c>
      <c r="E175" s="10" t="str">
        <f t="shared" si="11"/>
        <v>Priză dublă cu împământare</v>
      </c>
      <c r="F175" s="16">
        <v>5</v>
      </c>
      <c r="G175" s="13"/>
      <c r="H175" s="6" t="s">
        <v>256</v>
      </c>
      <c r="I175" s="6" t="s">
        <v>94</v>
      </c>
      <c r="J175" s="11">
        <f t="shared" si="12"/>
        <v>-1</v>
      </c>
      <c r="K175" s="17">
        <f t="shared" si="13"/>
        <v>-5</v>
      </c>
      <c r="L175" s="18" t="str">
        <f t="shared" si="14"/>
        <v/>
      </c>
      <c r="M175" s="18">
        <f>IF(J175&lt;&gt;-1,"",ROUND(F175*IFERROR(INDEX(Stocuri!$G$5:$G$204,MATCH(D175,Coduri,0)),0),2))</f>
        <v>63.5</v>
      </c>
      <c r="N175" s="19" t="str">
        <f t="shared" si="15"/>
        <v/>
      </c>
    </row>
    <row r="176" spans="2:14" x14ac:dyDescent="0.2">
      <c r="B176" s="15">
        <f>DATE(2026,10,6)</f>
        <v>46301</v>
      </c>
      <c r="C176" s="6" t="s">
        <v>15</v>
      </c>
      <c r="D176" s="12" t="s">
        <v>68</v>
      </c>
      <c r="E176" s="10" t="str">
        <f t="shared" si="11"/>
        <v>Bec LED E27 9W</v>
      </c>
      <c r="F176" s="16">
        <v>10</v>
      </c>
      <c r="G176" s="13"/>
      <c r="H176" s="6" t="s">
        <v>257</v>
      </c>
      <c r="I176" s="6" t="s">
        <v>96</v>
      </c>
      <c r="J176" s="11">
        <f t="shared" si="12"/>
        <v>-1</v>
      </c>
      <c r="K176" s="17">
        <f t="shared" si="13"/>
        <v>-10</v>
      </c>
      <c r="L176" s="18" t="str">
        <f t="shared" si="14"/>
        <v/>
      </c>
      <c r="M176" s="18">
        <f>IF(J176&lt;&gt;-1,"",ROUND(F176*IFERROR(INDEX(Stocuri!$G$5:$G$204,MATCH(D176,Coduri,0)),0),2))</f>
        <v>64.569999999999993</v>
      </c>
      <c r="N176" s="19" t="str">
        <f t="shared" si="15"/>
        <v/>
      </c>
    </row>
    <row r="177" spans="2:14" x14ac:dyDescent="0.2">
      <c r="B177" s="15">
        <f>DATE(2026,10,7)</f>
        <v>46302</v>
      </c>
      <c r="C177" s="6" t="s">
        <v>15</v>
      </c>
      <c r="D177" s="12" t="s">
        <v>44</v>
      </c>
      <c r="E177" s="10" t="str">
        <f t="shared" si="11"/>
        <v>Tub flexibil PVC 20 mm</v>
      </c>
      <c r="F177" s="16">
        <v>50</v>
      </c>
      <c r="G177" s="13"/>
      <c r="H177" s="6" t="s">
        <v>258</v>
      </c>
      <c r="I177" s="6" t="s">
        <v>100</v>
      </c>
      <c r="J177" s="11">
        <f t="shared" si="12"/>
        <v>-1</v>
      </c>
      <c r="K177" s="17">
        <f t="shared" si="13"/>
        <v>-50</v>
      </c>
      <c r="L177" s="18" t="str">
        <f t="shared" si="14"/>
        <v/>
      </c>
      <c r="M177" s="18">
        <f>IF(J177&lt;&gt;-1,"",ROUND(F177*IFERROR(INDEX(Stocuri!$G$5:$G$204,MATCH(D177,Coduri,0)),0),2))</f>
        <v>58.44</v>
      </c>
      <c r="N177" s="19" t="str">
        <f t="shared" si="15"/>
        <v/>
      </c>
    </row>
    <row r="178" spans="2:14" x14ac:dyDescent="0.2">
      <c r="B178" s="15">
        <f>DATE(2026,10,7)</f>
        <v>46302</v>
      </c>
      <c r="C178" s="6" t="s">
        <v>15</v>
      </c>
      <c r="D178" s="12" t="s">
        <v>58</v>
      </c>
      <c r="E178" s="10" t="str">
        <f t="shared" si="11"/>
        <v>Tablou electric 12 module</v>
      </c>
      <c r="F178" s="16">
        <v>2</v>
      </c>
      <c r="G178" s="13"/>
      <c r="H178" s="6" t="s">
        <v>259</v>
      </c>
      <c r="I178" s="6" t="s">
        <v>92</v>
      </c>
      <c r="J178" s="11">
        <f t="shared" si="12"/>
        <v>-1</v>
      </c>
      <c r="K178" s="17">
        <f t="shared" si="13"/>
        <v>-2</v>
      </c>
      <c r="L178" s="18" t="str">
        <f t="shared" si="14"/>
        <v/>
      </c>
      <c r="M178" s="18">
        <f>IF(J178&lt;&gt;-1,"",ROUND(F178*IFERROR(INDEX(Stocuri!$G$5:$G$204,MATCH(D178,Coduri,0)),0),2))</f>
        <v>193.33</v>
      </c>
      <c r="N178" s="19" t="str">
        <f t="shared" si="15"/>
        <v/>
      </c>
    </row>
    <row r="179" spans="2:14" x14ac:dyDescent="0.2">
      <c r="B179" s="15">
        <f>DATE(2026,10,8)</f>
        <v>46303</v>
      </c>
      <c r="C179" s="6" t="s">
        <v>15</v>
      </c>
      <c r="D179" s="12" t="s">
        <v>47</v>
      </c>
      <c r="E179" s="10" t="str">
        <f t="shared" si="11"/>
        <v>Doză aparat îngropată</v>
      </c>
      <c r="F179" s="16">
        <v>50</v>
      </c>
      <c r="G179" s="13"/>
      <c r="H179" s="6" t="s">
        <v>260</v>
      </c>
      <c r="I179" s="6" t="s">
        <v>98</v>
      </c>
      <c r="J179" s="11">
        <f t="shared" si="12"/>
        <v>-1</v>
      </c>
      <c r="K179" s="17">
        <f t="shared" si="13"/>
        <v>-50</v>
      </c>
      <c r="L179" s="18" t="str">
        <f t="shared" si="14"/>
        <v/>
      </c>
      <c r="M179" s="18">
        <f>IF(J179&lt;&gt;-1,"",ROUND(F179*IFERROR(INDEX(Stocuri!$G$5:$G$204,MATCH(D179,Coduri,0)),0),2))</f>
        <v>34.450000000000003</v>
      </c>
      <c r="N179" s="19" t="str">
        <f t="shared" si="15"/>
        <v/>
      </c>
    </row>
    <row r="180" spans="2:14" x14ac:dyDescent="0.2">
      <c r="B180" s="15">
        <f>DATE(2026,10,8)</f>
        <v>46303</v>
      </c>
      <c r="C180" s="6" t="s">
        <v>15</v>
      </c>
      <c r="D180" s="12" t="s">
        <v>61</v>
      </c>
      <c r="E180" s="10" t="str">
        <f t="shared" si="11"/>
        <v>Siguranță automată 16A</v>
      </c>
      <c r="F180" s="16">
        <v>15</v>
      </c>
      <c r="G180" s="13"/>
      <c r="H180" s="6" t="s">
        <v>261</v>
      </c>
      <c r="I180" s="6" t="s">
        <v>100</v>
      </c>
      <c r="J180" s="11">
        <f t="shared" si="12"/>
        <v>-1</v>
      </c>
      <c r="K180" s="17">
        <f t="shared" si="13"/>
        <v>-15</v>
      </c>
      <c r="L180" s="18" t="str">
        <f t="shared" si="14"/>
        <v/>
      </c>
      <c r="M180" s="18">
        <f>IF(J180&lt;&gt;-1,"",ROUND(F180*IFERROR(INDEX(Stocuri!$G$5:$G$204,MATCH(D180,Coduri,0)),0),2))</f>
        <v>226.29</v>
      </c>
      <c r="N180" s="19" t="str">
        <f t="shared" si="15"/>
        <v/>
      </c>
    </row>
    <row r="181" spans="2:14" x14ac:dyDescent="0.2">
      <c r="B181" s="15">
        <f>DATE(2026,10,8)</f>
        <v>46303</v>
      </c>
      <c r="C181" s="6" t="s">
        <v>15</v>
      </c>
      <c r="D181" s="12" t="s">
        <v>74</v>
      </c>
      <c r="E181" s="10" t="str">
        <f t="shared" si="11"/>
        <v>Bandă izolatoare 19 mm</v>
      </c>
      <c r="F181" s="16">
        <v>6</v>
      </c>
      <c r="G181" s="13"/>
      <c r="H181" s="6" t="s">
        <v>262</v>
      </c>
      <c r="I181" s="6" t="s">
        <v>92</v>
      </c>
      <c r="J181" s="11">
        <f t="shared" si="12"/>
        <v>-1</v>
      </c>
      <c r="K181" s="17">
        <f t="shared" si="13"/>
        <v>-6</v>
      </c>
      <c r="L181" s="18" t="str">
        <f t="shared" si="14"/>
        <v/>
      </c>
      <c r="M181" s="18">
        <f>IF(J181&lt;&gt;-1,"",ROUND(F181*IFERROR(INDEX(Stocuri!$G$5:$G$204,MATCH(D181,Coduri,0)),0),2))</f>
        <v>12.6</v>
      </c>
      <c r="N181" s="19" t="str">
        <f t="shared" si="15"/>
        <v/>
      </c>
    </row>
    <row r="182" spans="2:14" x14ac:dyDescent="0.2">
      <c r="B182" s="15"/>
      <c r="C182" s="6"/>
      <c r="D182" s="12"/>
      <c r="E182" s="10" t="str">
        <f t="shared" si="11"/>
        <v/>
      </c>
      <c r="F182" s="16"/>
      <c r="G182" s="13"/>
      <c r="H182" s="6"/>
      <c r="I182" s="6"/>
      <c r="J182" s="11" t="str">
        <f t="shared" si="12"/>
        <v/>
      </c>
      <c r="K182" s="17" t="str">
        <f t="shared" si="13"/>
        <v/>
      </c>
      <c r="L182" s="18" t="str">
        <f t="shared" si="14"/>
        <v/>
      </c>
      <c r="M182" s="18" t="str">
        <f>IF(J182&lt;&gt;-1,"",ROUND(F182*IFERROR(INDEX(Stocuri!$G$5:$G$204,MATCH(D182,Coduri,0)),0),2))</f>
        <v/>
      </c>
      <c r="N182" s="19" t="str">
        <f t="shared" si="15"/>
        <v/>
      </c>
    </row>
    <row r="183" spans="2:14" x14ac:dyDescent="0.2">
      <c r="B183" s="15"/>
      <c r="C183" s="6"/>
      <c r="D183" s="12"/>
      <c r="E183" s="10" t="str">
        <f t="shared" si="11"/>
        <v/>
      </c>
      <c r="F183" s="16"/>
      <c r="G183" s="13"/>
      <c r="H183" s="6"/>
      <c r="I183" s="6"/>
      <c r="J183" s="11" t="str">
        <f t="shared" si="12"/>
        <v/>
      </c>
      <c r="K183" s="17" t="str">
        <f t="shared" si="13"/>
        <v/>
      </c>
      <c r="L183" s="18" t="str">
        <f t="shared" si="14"/>
        <v/>
      </c>
      <c r="M183" s="18" t="str">
        <f>IF(J183&lt;&gt;-1,"",ROUND(F183*IFERROR(INDEX(Stocuri!$G$5:$G$204,MATCH(D183,Coduri,0)),0),2))</f>
        <v/>
      </c>
      <c r="N183" s="19" t="str">
        <f t="shared" si="15"/>
        <v/>
      </c>
    </row>
    <row r="184" spans="2:14" x14ac:dyDescent="0.2">
      <c r="B184" s="15"/>
      <c r="C184" s="6"/>
      <c r="D184" s="12"/>
      <c r="E184" s="10" t="str">
        <f t="shared" si="11"/>
        <v/>
      </c>
      <c r="F184" s="16"/>
      <c r="G184" s="13"/>
      <c r="H184" s="6"/>
      <c r="I184" s="6"/>
      <c r="J184" s="11" t="str">
        <f t="shared" si="12"/>
        <v/>
      </c>
      <c r="K184" s="17" t="str">
        <f t="shared" si="13"/>
        <v/>
      </c>
      <c r="L184" s="18" t="str">
        <f t="shared" si="14"/>
        <v/>
      </c>
      <c r="M184" s="18" t="str">
        <f>IF(J184&lt;&gt;-1,"",ROUND(F184*IFERROR(INDEX(Stocuri!$G$5:$G$204,MATCH(D184,Coduri,0)),0),2))</f>
        <v/>
      </c>
      <c r="N184" s="19" t="str">
        <f t="shared" si="15"/>
        <v/>
      </c>
    </row>
    <row r="185" spans="2:14" x14ac:dyDescent="0.2">
      <c r="B185" s="15"/>
      <c r="C185" s="6"/>
      <c r="D185" s="12"/>
      <c r="E185" s="10" t="str">
        <f t="shared" si="11"/>
        <v/>
      </c>
      <c r="F185" s="16"/>
      <c r="G185" s="13"/>
      <c r="H185" s="6"/>
      <c r="I185" s="6"/>
      <c r="J185" s="11" t="str">
        <f t="shared" si="12"/>
        <v/>
      </c>
      <c r="K185" s="17" t="str">
        <f t="shared" si="13"/>
        <v/>
      </c>
      <c r="L185" s="18" t="str">
        <f t="shared" si="14"/>
        <v/>
      </c>
      <c r="M185" s="18" t="str">
        <f>IF(J185&lt;&gt;-1,"",ROUND(F185*IFERROR(INDEX(Stocuri!$G$5:$G$204,MATCH(D185,Coduri,0)),0),2))</f>
        <v/>
      </c>
      <c r="N185" s="19" t="str">
        <f t="shared" si="15"/>
        <v/>
      </c>
    </row>
    <row r="186" spans="2:14" x14ac:dyDescent="0.2">
      <c r="B186" s="15"/>
      <c r="C186" s="6"/>
      <c r="D186" s="12"/>
      <c r="E186" s="10" t="str">
        <f t="shared" si="11"/>
        <v/>
      </c>
      <c r="F186" s="16"/>
      <c r="G186" s="13"/>
      <c r="H186" s="6"/>
      <c r="I186" s="6"/>
      <c r="J186" s="11" t="str">
        <f t="shared" si="12"/>
        <v/>
      </c>
      <c r="K186" s="17" t="str">
        <f t="shared" si="13"/>
        <v/>
      </c>
      <c r="L186" s="18" t="str">
        <f t="shared" si="14"/>
        <v/>
      </c>
      <c r="M186" s="18" t="str">
        <f>IF(J186&lt;&gt;-1,"",ROUND(F186*IFERROR(INDEX(Stocuri!$G$5:$G$204,MATCH(D186,Coduri,0)),0),2))</f>
        <v/>
      </c>
      <c r="N186" s="19" t="str">
        <f t="shared" si="15"/>
        <v/>
      </c>
    </row>
    <row r="187" spans="2:14" x14ac:dyDescent="0.2">
      <c r="B187" s="15"/>
      <c r="C187" s="6"/>
      <c r="D187" s="12"/>
      <c r="E187" s="10" t="str">
        <f t="shared" si="11"/>
        <v/>
      </c>
      <c r="F187" s="16"/>
      <c r="G187" s="13"/>
      <c r="H187" s="6"/>
      <c r="I187" s="6"/>
      <c r="J187" s="11" t="str">
        <f t="shared" si="12"/>
        <v/>
      </c>
      <c r="K187" s="17" t="str">
        <f t="shared" si="13"/>
        <v/>
      </c>
      <c r="L187" s="18" t="str">
        <f t="shared" si="14"/>
        <v/>
      </c>
      <c r="M187" s="18" t="str">
        <f>IF(J187&lt;&gt;-1,"",ROUND(F187*IFERROR(INDEX(Stocuri!$G$5:$G$204,MATCH(D187,Coduri,0)),0),2))</f>
        <v/>
      </c>
      <c r="N187" s="19" t="str">
        <f t="shared" si="15"/>
        <v/>
      </c>
    </row>
    <row r="188" spans="2:14" x14ac:dyDescent="0.2">
      <c r="B188" s="15"/>
      <c r="C188" s="6"/>
      <c r="D188" s="12"/>
      <c r="E188" s="10" t="str">
        <f t="shared" si="11"/>
        <v/>
      </c>
      <c r="F188" s="16"/>
      <c r="G188" s="13"/>
      <c r="H188" s="6"/>
      <c r="I188" s="6"/>
      <c r="J188" s="11" t="str">
        <f t="shared" si="12"/>
        <v/>
      </c>
      <c r="K188" s="17" t="str">
        <f t="shared" si="13"/>
        <v/>
      </c>
      <c r="L188" s="18" t="str">
        <f t="shared" si="14"/>
        <v/>
      </c>
      <c r="M188" s="18" t="str">
        <f>IF(J188&lt;&gt;-1,"",ROUND(F188*IFERROR(INDEX(Stocuri!$G$5:$G$204,MATCH(D188,Coduri,0)),0),2))</f>
        <v/>
      </c>
      <c r="N188" s="19" t="str">
        <f t="shared" si="15"/>
        <v/>
      </c>
    </row>
    <row r="189" spans="2:14" x14ac:dyDescent="0.2">
      <c r="B189" s="15"/>
      <c r="C189" s="6"/>
      <c r="D189" s="12"/>
      <c r="E189" s="10" t="str">
        <f t="shared" si="11"/>
        <v/>
      </c>
      <c r="F189" s="16"/>
      <c r="G189" s="13"/>
      <c r="H189" s="6"/>
      <c r="I189" s="6"/>
      <c r="J189" s="11" t="str">
        <f t="shared" si="12"/>
        <v/>
      </c>
      <c r="K189" s="17" t="str">
        <f t="shared" si="13"/>
        <v/>
      </c>
      <c r="L189" s="18" t="str">
        <f t="shared" si="14"/>
        <v/>
      </c>
      <c r="M189" s="18" t="str">
        <f>IF(J189&lt;&gt;-1,"",ROUND(F189*IFERROR(INDEX(Stocuri!$G$5:$G$204,MATCH(D189,Coduri,0)),0),2))</f>
        <v/>
      </c>
      <c r="N189" s="19" t="str">
        <f t="shared" si="15"/>
        <v/>
      </c>
    </row>
    <row r="190" spans="2:14" x14ac:dyDescent="0.2">
      <c r="B190" s="15"/>
      <c r="C190" s="6"/>
      <c r="D190" s="12"/>
      <c r="E190" s="10" t="str">
        <f t="shared" si="11"/>
        <v/>
      </c>
      <c r="F190" s="16"/>
      <c r="G190" s="13"/>
      <c r="H190" s="6"/>
      <c r="I190" s="6"/>
      <c r="J190" s="11" t="str">
        <f t="shared" si="12"/>
        <v/>
      </c>
      <c r="K190" s="17" t="str">
        <f t="shared" si="13"/>
        <v/>
      </c>
      <c r="L190" s="18" t="str">
        <f t="shared" si="14"/>
        <v/>
      </c>
      <c r="M190" s="18" t="str">
        <f>IF(J190&lt;&gt;-1,"",ROUND(F190*IFERROR(INDEX(Stocuri!$G$5:$G$204,MATCH(D190,Coduri,0)),0),2))</f>
        <v/>
      </c>
      <c r="N190" s="19" t="str">
        <f t="shared" si="15"/>
        <v/>
      </c>
    </row>
    <row r="191" spans="2:14" x14ac:dyDescent="0.2">
      <c r="B191" s="15"/>
      <c r="C191" s="6"/>
      <c r="D191" s="12"/>
      <c r="E191" s="10" t="str">
        <f t="shared" si="11"/>
        <v/>
      </c>
      <c r="F191" s="16"/>
      <c r="G191" s="13"/>
      <c r="H191" s="6"/>
      <c r="I191" s="6"/>
      <c r="J191" s="11" t="str">
        <f t="shared" si="12"/>
        <v/>
      </c>
      <c r="K191" s="17" t="str">
        <f t="shared" si="13"/>
        <v/>
      </c>
      <c r="L191" s="18" t="str">
        <f t="shared" si="14"/>
        <v/>
      </c>
      <c r="M191" s="18" t="str">
        <f>IF(J191&lt;&gt;-1,"",ROUND(F191*IFERROR(INDEX(Stocuri!$G$5:$G$204,MATCH(D191,Coduri,0)),0),2))</f>
        <v/>
      </c>
      <c r="N191" s="19" t="str">
        <f t="shared" si="15"/>
        <v/>
      </c>
    </row>
    <row r="192" spans="2:14" x14ac:dyDescent="0.2">
      <c r="B192" s="15"/>
      <c r="C192" s="6"/>
      <c r="D192" s="12"/>
      <c r="E192" s="10" t="str">
        <f t="shared" si="11"/>
        <v/>
      </c>
      <c r="F192" s="16"/>
      <c r="G192" s="13"/>
      <c r="H192" s="6"/>
      <c r="I192" s="6"/>
      <c r="J192" s="11" t="str">
        <f t="shared" si="12"/>
        <v/>
      </c>
      <c r="K192" s="17" t="str">
        <f t="shared" si="13"/>
        <v/>
      </c>
      <c r="L192" s="18" t="str">
        <f t="shared" si="14"/>
        <v/>
      </c>
      <c r="M192" s="18" t="str">
        <f>IF(J192&lt;&gt;-1,"",ROUND(F192*IFERROR(INDEX(Stocuri!$G$5:$G$204,MATCH(D192,Coduri,0)),0),2))</f>
        <v/>
      </c>
      <c r="N192" s="19" t="str">
        <f t="shared" si="15"/>
        <v/>
      </c>
    </row>
    <row r="193" spans="2:14" x14ac:dyDescent="0.2">
      <c r="B193" s="15"/>
      <c r="C193" s="6"/>
      <c r="D193" s="12"/>
      <c r="E193" s="10" t="str">
        <f t="shared" si="11"/>
        <v/>
      </c>
      <c r="F193" s="16"/>
      <c r="G193" s="13"/>
      <c r="H193" s="6"/>
      <c r="I193" s="6"/>
      <c r="J193" s="11" t="str">
        <f t="shared" si="12"/>
        <v/>
      </c>
      <c r="K193" s="17" t="str">
        <f t="shared" si="13"/>
        <v/>
      </c>
      <c r="L193" s="18" t="str">
        <f t="shared" si="14"/>
        <v/>
      </c>
      <c r="M193" s="18" t="str">
        <f>IF(J193&lt;&gt;-1,"",ROUND(F193*IFERROR(INDEX(Stocuri!$G$5:$G$204,MATCH(D193,Coduri,0)),0),2))</f>
        <v/>
      </c>
      <c r="N193" s="19" t="str">
        <f t="shared" si="15"/>
        <v/>
      </c>
    </row>
    <row r="194" spans="2:14" x14ac:dyDescent="0.2">
      <c r="B194" s="15"/>
      <c r="C194" s="6"/>
      <c r="D194" s="12"/>
      <c r="E194" s="10" t="str">
        <f t="shared" si="11"/>
        <v/>
      </c>
      <c r="F194" s="16"/>
      <c r="G194" s="13"/>
      <c r="H194" s="6"/>
      <c r="I194" s="6"/>
      <c r="J194" s="11" t="str">
        <f t="shared" si="12"/>
        <v/>
      </c>
      <c r="K194" s="17" t="str">
        <f t="shared" si="13"/>
        <v/>
      </c>
      <c r="L194" s="18" t="str">
        <f t="shared" si="14"/>
        <v/>
      </c>
      <c r="M194" s="18" t="str">
        <f>IF(J194&lt;&gt;-1,"",ROUND(F194*IFERROR(INDEX(Stocuri!$G$5:$G$204,MATCH(D194,Coduri,0)),0),2))</f>
        <v/>
      </c>
      <c r="N194" s="19" t="str">
        <f t="shared" si="15"/>
        <v/>
      </c>
    </row>
    <row r="195" spans="2:14" x14ac:dyDescent="0.2">
      <c r="B195" s="15"/>
      <c r="C195" s="6"/>
      <c r="D195" s="12"/>
      <c r="E195" s="10" t="str">
        <f t="shared" si="11"/>
        <v/>
      </c>
      <c r="F195" s="16"/>
      <c r="G195" s="13"/>
      <c r="H195" s="6"/>
      <c r="I195" s="6"/>
      <c r="J195" s="11" t="str">
        <f t="shared" si="12"/>
        <v/>
      </c>
      <c r="K195" s="17" t="str">
        <f t="shared" si="13"/>
        <v/>
      </c>
      <c r="L195" s="18" t="str">
        <f t="shared" si="14"/>
        <v/>
      </c>
      <c r="M195" s="18" t="str">
        <f>IF(J195&lt;&gt;-1,"",ROUND(F195*IFERROR(INDEX(Stocuri!$G$5:$G$204,MATCH(D195,Coduri,0)),0),2))</f>
        <v/>
      </c>
      <c r="N195" s="19" t="str">
        <f t="shared" si="15"/>
        <v/>
      </c>
    </row>
    <row r="196" spans="2:14" x14ac:dyDescent="0.2">
      <c r="B196" s="15"/>
      <c r="C196" s="6"/>
      <c r="D196" s="12"/>
      <c r="E196" s="10" t="str">
        <f t="shared" si="11"/>
        <v/>
      </c>
      <c r="F196" s="16"/>
      <c r="G196" s="13"/>
      <c r="H196" s="6"/>
      <c r="I196" s="6"/>
      <c r="J196" s="11" t="str">
        <f t="shared" si="12"/>
        <v/>
      </c>
      <c r="K196" s="17" t="str">
        <f t="shared" si="13"/>
        <v/>
      </c>
      <c r="L196" s="18" t="str">
        <f t="shared" si="14"/>
        <v/>
      </c>
      <c r="M196" s="18" t="str">
        <f>IF(J196&lt;&gt;-1,"",ROUND(F196*IFERROR(INDEX(Stocuri!$G$5:$G$204,MATCH(D196,Coduri,0)),0),2))</f>
        <v/>
      </c>
      <c r="N196" s="19" t="str">
        <f t="shared" si="15"/>
        <v/>
      </c>
    </row>
    <row r="197" spans="2:14" x14ac:dyDescent="0.2">
      <c r="B197" s="15"/>
      <c r="C197" s="6"/>
      <c r="D197" s="12"/>
      <c r="E197" s="10" t="str">
        <f t="shared" ref="E197:E260" si="16">IF(D197="","",IFERROR(VLOOKUP(D197,Catalog,2,FALSE),""))</f>
        <v/>
      </c>
      <c r="F197" s="16"/>
      <c r="G197" s="13"/>
      <c r="H197" s="6"/>
      <c r="I197" s="6"/>
      <c r="J197" s="11" t="str">
        <f t="shared" ref="J197:J260" si="17">IF(C197="","",IFERROR(VLOOKUP(C197,TipSemn,2,FALSE),""))</f>
        <v/>
      </c>
      <c r="K197" s="17" t="str">
        <f t="shared" ref="K197:K260" si="18">IF(OR(J197="",F197=""),"",J197*F197)</f>
        <v/>
      </c>
      <c r="L197" s="18" t="str">
        <f t="shared" ref="L197:L260" si="19">IF(OR(J197&lt;&gt;1,G197=""),"",ROUND(F197*G197,2))</f>
        <v/>
      </c>
      <c r="M197" s="18" t="str">
        <f>IF(J197&lt;&gt;-1,"",ROUND(F197*IFERROR(INDEX(Stocuri!$G$5:$G$204,MATCH(D197,Coduri,0)),0),2))</f>
        <v/>
      </c>
      <c r="N197" s="19" t="str">
        <f t="shared" ref="N197:N260" si="20">IF(AND(B197="",D197=""),"",TRIM(IF(OR(B197="",C197="",D197="",F197=""),"Date incomplete. ","")&amp;IF(AND(D197&lt;&gt;"",E197=""),"Cod necunoscut. ","")&amp;IF(AND(J197=1,C197&lt;&gt;"Retur de la client",C197&lt;&gt;"Ajustare inventar +",G197=""),"Lipsește prețul de intrare. ","")&amp;IF(AND(J197=-1,D197&lt;&gt;"",SUMIFS($K$5:$K$2004,$D$5:$D$2004,D197,$B$5:$B$2004,"&lt;="&amp;B197)&lt;0),"Stoc insuficient la această dată. ","")&amp;IF(AND(C197&lt;&gt;"Stoc inițial",H197=""),"Lipsește documentul. ","")))</f>
        <v/>
      </c>
    </row>
    <row r="198" spans="2:14" x14ac:dyDescent="0.2">
      <c r="B198" s="15"/>
      <c r="C198" s="6"/>
      <c r="D198" s="12"/>
      <c r="E198" s="10" t="str">
        <f t="shared" si="16"/>
        <v/>
      </c>
      <c r="F198" s="16"/>
      <c r="G198" s="13"/>
      <c r="H198" s="6"/>
      <c r="I198" s="6"/>
      <c r="J198" s="11" t="str">
        <f t="shared" si="17"/>
        <v/>
      </c>
      <c r="K198" s="17" t="str">
        <f t="shared" si="18"/>
        <v/>
      </c>
      <c r="L198" s="18" t="str">
        <f t="shared" si="19"/>
        <v/>
      </c>
      <c r="M198" s="18" t="str">
        <f>IF(J198&lt;&gt;-1,"",ROUND(F198*IFERROR(INDEX(Stocuri!$G$5:$G$204,MATCH(D198,Coduri,0)),0),2))</f>
        <v/>
      </c>
      <c r="N198" s="19" t="str">
        <f t="shared" si="20"/>
        <v/>
      </c>
    </row>
    <row r="199" spans="2:14" x14ac:dyDescent="0.2">
      <c r="B199" s="15"/>
      <c r="C199" s="6"/>
      <c r="D199" s="12"/>
      <c r="E199" s="10" t="str">
        <f t="shared" si="16"/>
        <v/>
      </c>
      <c r="F199" s="16"/>
      <c r="G199" s="13"/>
      <c r="H199" s="6"/>
      <c r="I199" s="6"/>
      <c r="J199" s="11" t="str">
        <f t="shared" si="17"/>
        <v/>
      </c>
      <c r="K199" s="17" t="str">
        <f t="shared" si="18"/>
        <v/>
      </c>
      <c r="L199" s="18" t="str">
        <f t="shared" si="19"/>
        <v/>
      </c>
      <c r="M199" s="18" t="str">
        <f>IF(J199&lt;&gt;-1,"",ROUND(F199*IFERROR(INDEX(Stocuri!$G$5:$G$204,MATCH(D199,Coduri,0)),0),2))</f>
        <v/>
      </c>
      <c r="N199" s="19" t="str">
        <f t="shared" si="20"/>
        <v/>
      </c>
    </row>
    <row r="200" spans="2:14" x14ac:dyDescent="0.2">
      <c r="B200" s="15"/>
      <c r="C200" s="6"/>
      <c r="D200" s="12"/>
      <c r="E200" s="10" t="str">
        <f t="shared" si="16"/>
        <v/>
      </c>
      <c r="F200" s="16"/>
      <c r="G200" s="13"/>
      <c r="H200" s="6"/>
      <c r="I200" s="6"/>
      <c r="J200" s="11" t="str">
        <f t="shared" si="17"/>
        <v/>
      </c>
      <c r="K200" s="17" t="str">
        <f t="shared" si="18"/>
        <v/>
      </c>
      <c r="L200" s="18" t="str">
        <f t="shared" si="19"/>
        <v/>
      </c>
      <c r="M200" s="18" t="str">
        <f>IF(J200&lt;&gt;-1,"",ROUND(F200*IFERROR(INDEX(Stocuri!$G$5:$G$204,MATCH(D200,Coduri,0)),0),2))</f>
        <v/>
      </c>
      <c r="N200" s="19" t="str">
        <f t="shared" si="20"/>
        <v/>
      </c>
    </row>
    <row r="201" spans="2:14" x14ac:dyDescent="0.2">
      <c r="B201" s="15"/>
      <c r="C201" s="6"/>
      <c r="D201" s="12"/>
      <c r="E201" s="10" t="str">
        <f t="shared" si="16"/>
        <v/>
      </c>
      <c r="F201" s="16"/>
      <c r="G201" s="13"/>
      <c r="H201" s="6"/>
      <c r="I201" s="6"/>
      <c r="J201" s="11" t="str">
        <f t="shared" si="17"/>
        <v/>
      </c>
      <c r="K201" s="17" t="str">
        <f t="shared" si="18"/>
        <v/>
      </c>
      <c r="L201" s="18" t="str">
        <f t="shared" si="19"/>
        <v/>
      </c>
      <c r="M201" s="18" t="str">
        <f>IF(J201&lt;&gt;-1,"",ROUND(F201*IFERROR(INDEX(Stocuri!$G$5:$G$204,MATCH(D201,Coduri,0)),0),2))</f>
        <v/>
      </c>
      <c r="N201" s="19" t="str">
        <f t="shared" si="20"/>
        <v/>
      </c>
    </row>
    <row r="202" spans="2:14" x14ac:dyDescent="0.2">
      <c r="B202" s="15"/>
      <c r="C202" s="6"/>
      <c r="D202" s="12"/>
      <c r="E202" s="10" t="str">
        <f t="shared" si="16"/>
        <v/>
      </c>
      <c r="F202" s="16"/>
      <c r="G202" s="13"/>
      <c r="H202" s="6"/>
      <c r="I202" s="6"/>
      <c r="J202" s="11" t="str">
        <f t="shared" si="17"/>
        <v/>
      </c>
      <c r="K202" s="17" t="str">
        <f t="shared" si="18"/>
        <v/>
      </c>
      <c r="L202" s="18" t="str">
        <f t="shared" si="19"/>
        <v/>
      </c>
      <c r="M202" s="18" t="str">
        <f>IF(J202&lt;&gt;-1,"",ROUND(F202*IFERROR(INDEX(Stocuri!$G$5:$G$204,MATCH(D202,Coduri,0)),0),2))</f>
        <v/>
      </c>
      <c r="N202" s="19" t="str">
        <f t="shared" si="20"/>
        <v/>
      </c>
    </row>
    <row r="203" spans="2:14" x14ac:dyDescent="0.2">
      <c r="B203" s="15"/>
      <c r="C203" s="6"/>
      <c r="D203" s="12"/>
      <c r="E203" s="10" t="str">
        <f t="shared" si="16"/>
        <v/>
      </c>
      <c r="F203" s="16"/>
      <c r="G203" s="13"/>
      <c r="H203" s="6"/>
      <c r="I203" s="6"/>
      <c r="J203" s="11" t="str">
        <f t="shared" si="17"/>
        <v/>
      </c>
      <c r="K203" s="17" t="str">
        <f t="shared" si="18"/>
        <v/>
      </c>
      <c r="L203" s="18" t="str">
        <f t="shared" si="19"/>
        <v/>
      </c>
      <c r="M203" s="18" t="str">
        <f>IF(J203&lt;&gt;-1,"",ROUND(F203*IFERROR(INDEX(Stocuri!$G$5:$G$204,MATCH(D203,Coduri,0)),0),2))</f>
        <v/>
      </c>
      <c r="N203" s="19" t="str">
        <f t="shared" si="20"/>
        <v/>
      </c>
    </row>
    <row r="204" spans="2:14" x14ac:dyDescent="0.2">
      <c r="B204" s="15"/>
      <c r="C204" s="6"/>
      <c r="D204" s="12"/>
      <c r="E204" s="10" t="str">
        <f t="shared" si="16"/>
        <v/>
      </c>
      <c r="F204" s="16"/>
      <c r="G204" s="13"/>
      <c r="H204" s="6"/>
      <c r="I204" s="6"/>
      <c r="J204" s="11" t="str">
        <f t="shared" si="17"/>
        <v/>
      </c>
      <c r="K204" s="17" t="str">
        <f t="shared" si="18"/>
        <v/>
      </c>
      <c r="L204" s="18" t="str">
        <f t="shared" si="19"/>
        <v/>
      </c>
      <c r="M204" s="18" t="str">
        <f>IF(J204&lt;&gt;-1,"",ROUND(F204*IFERROR(INDEX(Stocuri!$G$5:$G$204,MATCH(D204,Coduri,0)),0),2))</f>
        <v/>
      </c>
      <c r="N204" s="19" t="str">
        <f t="shared" si="20"/>
        <v/>
      </c>
    </row>
    <row r="205" spans="2:14" x14ac:dyDescent="0.2">
      <c r="B205" s="15"/>
      <c r="C205" s="6"/>
      <c r="D205" s="12"/>
      <c r="E205" s="10" t="str">
        <f t="shared" si="16"/>
        <v/>
      </c>
      <c r="F205" s="16"/>
      <c r="G205" s="13"/>
      <c r="H205" s="6"/>
      <c r="I205" s="6"/>
      <c r="J205" s="11" t="str">
        <f t="shared" si="17"/>
        <v/>
      </c>
      <c r="K205" s="17" t="str">
        <f t="shared" si="18"/>
        <v/>
      </c>
      <c r="L205" s="18" t="str">
        <f t="shared" si="19"/>
        <v/>
      </c>
      <c r="M205" s="18" t="str">
        <f>IF(J205&lt;&gt;-1,"",ROUND(F205*IFERROR(INDEX(Stocuri!$G$5:$G$204,MATCH(D205,Coduri,0)),0),2))</f>
        <v/>
      </c>
      <c r="N205" s="19" t="str">
        <f t="shared" si="20"/>
        <v/>
      </c>
    </row>
    <row r="206" spans="2:14" x14ac:dyDescent="0.2">
      <c r="B206" s="15"/>
      <c r="C206" s="6"/>
      <c r="D206" s="12"/>
      <c r="E206" s="10" t="str">
        <f t="shared" si="16"/>
        <v/>
      </c>
      <c r="F206" s="16"/>
      <c r="G206" s="13"/>
      <c r="H206" s="6"/>
      <c r="I206" s="6"/>
      <c r="J206" s="11" t="str">
        <f t="shared" si="17"/>
        <v/>
      </c>
      <c r="K206" s="17" t="str">
        <f t="shared" si="18"/>
        <v/>
      </c>
      <c r="L206" s="18" t="str">
        <f t="shared" si="19"/>
        <v/>
      </c>
      <c r="M206" s="18" t="str">
        <f>IF(J206&lt;&gt;-1,"",ROUND(F206*IFERROR(INDEX(Stocuri!$G$5:$G$204,MATCH(D206,Coduri,0)),0),2))</f>
        <v/>
      </c>
      <c r="N206" s="19" t="str">
        <f t="shared" si="20"/>
        <v/>
      </c>
    </row>
    <row r="207" spans="2:14" x14ac:dyDescent="0.2">
      <c r="B207" s="15"/>
      <c r="C207" s="6"/>
      <c r="D207" s="12"/>
      <c r="E207" s="10" t="str">
        <f t="shared" si="16"/>
        <v/>
      </c>
      <c r="F207" s="16"/>
      <c r="G207" s="13"/>
      <c r="H207" s="6"/>
      <c r="I207" s="6"/>
      <c r="J207" s="11" t="str">
        <f t="shared" si="17"/>
        <v/>
      </c>
      <c r="K207" s="17" t="str">
        <f t="shared" si="18"/>
        <v/>
      </c>
      <c r="L207" s="18" t="str">
        <f t="shared" si="19"/>
        <v/>
      </c>
      <c r="M207" s="18" t="str">
        <f>IF(J207&lt;&gt;-1,"",ROUND(F207*IFERROR(INDEX(Stocuri!$G$5:$G$204,MATCH(D207,Coduri,0)),0),2))</f>
        <v/>
      </c>
      <c r="N207" s="19" t="str">
        <f t="shared" si="20"/>
        <v/>
      </c>
    </row>
    <row r="208" spans="2:14" x14ac:dyDescent="0.2">
      <c r="B208" s="15"/>
      <c r="C208" s="6"/>
      <c r="D208" s="12"/>
      <c r="E208" s="10" t="str">
        <f t="shared" si="16"/>
        <v/>
      </c>
      <c r="F208" s="16"/>
      <c r="G208" s="13"/>
      <c r="H208" s="6"/>
      <c r="I208" s="6"/>
      <c r="J208" s="11" t="str">
        <f t="shared" si="17"/>
        <v/>
      </c>
      <c r="K208" s="17" t="str">
        <f t="shared" si="18"/>
        <v/>
      </c>
      <c r="L208" s="18" t="str">
        <f t="shared" si="19"/>
        <v/>
      </c>
      <c r="M208" s="18" t="str">
        <f>IF(J208&lt;&gt;-1,"",ROUND(F208*IFERROR(INDEX(Stocuri!$G$5:$G$204,MATCH(D208,Coduri,0)),0),2))</f>
        <v/>
      </c>
      <c r="N208" s="19" t="str">
        <f t="shared" si="20"/>
        <v/>
      </c>
    </row>
    <row r="209" spans="2:14" x14ac:dyDescent="0.2">
      <c r="B209" s="15"/>
      <c r="C209" s="6"/>
      <c r="D209" s="12"/>
      <c r="E209" s="10" t="str">
        <f t="shared" si="16"/>
        <v/>
      </c>
      <c r="F209" s="16"/>
      <c r="G209" s="13"/>
      <c r="H209" s="6"/>
      <c r="I209" s="6"/>
      <c r="J209" s="11" t="str">
        <f t="shared" si="17"/>
        <v/>
      </c>
      <c r="K209" s="17" t="str">
        <f t="shared" si="18"/>
        <v/>
      </c>
      <c r="L209" s="18" t="str">
        <f t="shared" si="19"/>
        <v/>
      </c>
      <c r="M209" s="18" t="str">
        <f>IF(J209&lt;&gt;-1,"",ROUND(F209*IFERROR(INDEX(Stocuri!$G$5:$G$204,MATCH(D209,Coduri,0)),0),2))</f>
        <v/>
      </c>
      <c r="N209" s="19" t="str">
        <f t="shared" si="20"/>
        <v/>
      </c>
    </row>
    <row r="210" spans="2:14" x14ac:dyDescent="0.2">
      <c r="B210" s="15"/>
      <c r="C210" s="6"/>
      <c r="D210" s="12"/>
      <c r="E210" s="10" t="str">
        <f t="shared" si="16"/>
        <v/>
      </c>
      <c r="F210" s="16"/>
      <c r="G210" s="13"/>
      <c r="H210" s="6"/>
      <c r="I210" s="6"/>
      <c r="J210" s="11" t="str">
        <f t="shared" si="17"/>
        <v/>
      </c>
      <c r="K210" s="17" t="str">
        <f t="shared" si="18"/>
        <v/>
      </c>
      <c r="L210" s="18" t="str">
        <f t="shared" si="19"/>
        <v/>
      </c>
      <c r="M210" s="18" t="str">
        <f>IF(J210&lt;&gt;-1,"",ROUND(F210*IFERROR(INDEX(Stocuri!$G$5:$G$204,MATCH(D210,Coduri,0)),0),2))</f>
        <v/>
      </c>
      <c r="N210" s="19" t="str">
        <f t="shared" si="20"/>
        <v/>
      </c>
    </row>
    <row r="211" spans="2:14" x14ac:dyDescent="0.2">
      <c r="B211" s="15"/>
      <c r="C211" s="6"/>
      <c r="D211" s="12"/>
      <c r="E211" s="10" t="str">
        <f t="shared" si="16"/>
        <v/>
      </c>
      <c r="F211" s="16"/>
      <c r="G211" s="13"/>
      <c r="H211" s="6"/>
      <c r="I211" s="6"/>
      <c r="J211" s="11" t="str">
        <f t="shared" si="17"/>
        <v/>
      </c>
      <c r="K211" s="17" t="str">
        <f t="shared" si="18"/>
        <v/>
      </c>
      <c r="L211" s="18" t="str">
        <f t="shared" si="19"/>
        <v/>
      </c>
      <c r="M211" s="18" t="str">
        <f>IF(J211&lt;&gt;-1,"",ROUND(F211*IFERROR(INDEX(Stocuri!$G$5:$G$204,MATCH(D211,Coduri,0)),0),2))</f>
        <v/>
      </c>
      <c r="N211" s="19" t="str">
        <f t="shared" si="20"/>
        <v/>
      </c>
    </row>
    <row r="212" spans="2:14" x14ac:dyDescent="0.2">
      <c r="B212" s="15"/>
      <c r="C212" s="6"/>
      <c r="D212" s="12"/>
      <c r="E212" s="10" t="str">
        <f t="shared" si="16"/>
        <v/>
      </c>
      <c r="F212" s="16"/>
      <c r="G212" s="13"/>
      <c r="H212" s="6"/>
      <c r="I212" s="6"/>
      <c r="J212" s="11" t="str">
        <f t="shared" si="17"/>
        <v/>
      </c>
      <c r="K212" s="17" t="str">
        <f t="shared" si="18"/>
        <v/>
      </c>
      <c r="L212" s="18" t="str">
        <f t="shared" si="19"/>
        <v/>
      </c>
      <c r="M212" s="18" t="str">
        <f>IF(J212&lt;&gt;-1,"",ROUND(F212*IFERROR(INDEX(Stocuri!$G$5:$G$204,MATCH(D212,Coduri,0)),0),2))</f>
        <v/>
      </c>
      <c r="N212" s="19" t="str">
        <f t="shared" si="20"/>
        <v/>
      </c>
    </row>
    <row r="213" spans="2:14" x14ac:dyDescent="0.2">
      <c r="B213" s="15"/>
      <c r="C213" s="6"/>
      <c r="D213" s="12"/>
      <c r="E213" s="10" t="str">
        <f t="shared" si="16"/>
        <v/>
      </c>
      <c r="F213" s="16"/>
      <c r="G213" s="13"/>
      <c r="H213" s="6"/>
      <c r="I213" s="6"/>
      <c r="J213" s="11" t="str">
        <f t="shared" si="17"/>
        <v/>
      </c>
      <c r="K213" s="17" t="str">
        <f t="shared" si="18"/>
        <v/>
      </c>
      <c r="L213" s="18" t="str">
        <f t="shared" si="19"/>
        <v/>
      </c>
      <c r="M213" s="18" t="str">
        <f>IF(J213&lt;&gt;-1,"",ROUND(F213*IFERROR(INDEX(Stocuri!$G$5:$G$204,MATCH(D213,Coduri,0)),0),2))</f>
        <v/>
      </c>
      <c r="N213" s="19" t="str">
        <f t="shared" si="20"/>
        <v/>
      </c>
    </row>
    <row r="214" spans="2:14" x14ac:dyDescent="0.2">
      <c r="B214" s="15"/>
      <c r="C214" s="6"/>
      <c r="D214" s="12"/>
      <c r="E214" s="10" t="str">
        <f t="shared" si="16"/>
        <v/>
      </c>
      <c r="F214" s="16"/>
      <c r="G214" s="13"/>
      <c r="H214" s="6"/>
      <c r="I214" s="6"/>
      <c r="J214" s="11" t="str">
        <f t="shared" si="17"/>
        <v/>
      </c>
      <c r="K214" s="17" t="str">
        <f t="shared" si="18"/>
        <v/>
      </c>
      <c r="L214" s="18" t="str">
        <f t="shared" si="19"/>
        <v/>
      </c>
      <c r="M214" s="18" t="str">
        <f>IF(J214&lt;&gt;-1,"",ROUND(F214*IFERROR(INDEX(Stocuri!$G$5:$G$204,MATCH(D214,Coduri,0)),0),2))</f>
        <v/>
      </c>
      <c r="N214" s="19" t="str">
        <f t="shared" si="20"/>
        <v/>
      </c>
    </row>
    <row r="215" spans="2:14" x14ac:dyDescent="0.2">
      <c r="B215" s="15"/>
      <c r="C215" s="6"/>
      <c r="D215" s="12"/>
      <c r="E215" s="10" t="str">
        <f t="shared" si="16"/>
        <v/>
      </c>
      <c r="F215" s="16"/>
      <c r="G215" s="13"/>
      <c r="H215" s="6"/>
      <c r="I215" s="6"/>
      <c r="J215" s="11" t="str">
        <f t="shared" si="17"/>
        <v/>
      </c>
      <c r="K215" s="17" t="str">
        <f t="shared" si="18"/>
        <v/>
      </c>
      <c r="L215" s="18" t="str">
        <f t="shared" si="19"/>
        <v/>
      </c>
      <c r="M215" s="18" t="str">
        <f>IF(J215&lt;&gt;-1,"",ROUND(F215*IFERROR(INDEX(Stocuri!$G$5:$G$204,MATCH(D215,Coduri,0)),0),2))</f>
        <v/>
      </c>
      <c r="N215" s="19" t="str">
        <f t="shared" si="20"/>
        <v/>
      </c>
    </row>
    <row r="216" spans="2:14" x14ac:dyDescent="0.2">
      <c r="B216" s="15"/>
      <c r="C216" s="6"/>
      <c r="D216" s="12"/>
      <c r="E216" s="10" t="str">
        <f t="shared" si="16"/>
        <v/>
      </c>
      <c r="F216" s="16"/>
      <c r="G216" s="13"/>
      <c r="H216" s="6"/>
      <c r="I216" s="6"/>
      <c r="J216" s="11" t="str">
        <f t="shared" si="17"/>
        <v/>
      </c>
      <c r="K216" s="17" t="str">
        <f t="shared" si="18"/>
        <v/>
      </c>
      <c r="L216" s="18" t="str">
        <f t="shared" si="19"/>
        <v/>
      </c>
      <c r="M216" s="18" t="str">
        <f>IF(J216&lt;&gt;-1,"",ROUND(F216*IFERROR(INDEX(Stocuri!$G$5:$G$204,MATCH(D216,Coduri,0)),0),2))</f>
        <v/>
      </c>
      <c r="N216" s="19" t="str">
        <f t="shared" si="20"/>
        <v/>
      </c>
    </row>
    <row r="217" spans="2:14" x14ac:dyDescent="0.2">
      <c r="B217" s="15"/>
      <c r="C217" s="6"/>
      <c r="D217" s="12"/>
      <c r="E217" s="10" t="str">
        <f t="shared" si="16"/>
        <v/>
      </c>
      <c r="F217" s="16"/>
      <c r="G217" s="13"/>
      <c r="H217" s="6"/>
      <c r="I217" s="6"/>
      <c r="J217" s="11" t="str">
        <f t="shared" si="17"/>
        <v/>
      </c>
      <c r="K217" s="17" t="str">
        <f t="shared" si="18"/>
        <v/>
      </c>
      <c r="L217" s="18" t="str">
        <f t="shared" si="19"/>
        <v/>
      </c>
      <c r="M217" s="18" t="str">
        <f>IF(J217&lt;&gt;-1,"",ROUND(F217*IFERROR(INDEX(Stocuri!$G$5:$G$204,MATCH(D217,Coduri,0)),0),2))</f>
        <v/>
      </c>
      <c r="N217" s="19" t="str">
        <f t="shared" si="20"/>
        <v/>
      </c>
    </row>
    <row r="218" spans="2:14" x14ac:dyDescent="0.2">
      <c r="B218" s="15"/>
      <c r="C218" s="6"/>
      <c r="D218" s="12"/>
      <c r="E218" s="10" t="str">
        <f t="shared" si="16"/>
        <v/>
      </c>
      <c r="F218" s="16"/>
      <c r="G218" s="13"/>
      <c r="H218" s="6"/>
      <c r="I218" s="6"/>
      <c r="J218" s="11" t="str">
        <f t="shared" si="17"/>
        <v/>
      </c>
      <c r="K218" s="17" t="str">
        <f t="shared" si="18"/>
        <v/>
      </c>
      <c r="L218" s="18" t="str">
        <f t="shared" si="19"/>
        <v/>
      </c>
      <c r="M218" s="18" t="str">
        <f>IF(J218&lt;&gt;-1,"",ROUND(F218*IFERROR(INDEX(Stocuri!$G$5:$G$204,MATCH(D218,Coduri,0)),0),2))</f>
        <v/>
      </c>
      <c r="N218" s="19" t="str">
        <f t="shared" si="20"/>
        <v/>
      </c>
    </row>
    <row r="219" spans="2:14" x14ac:dyDescent="0.2">
      <c r="B219" s="15"/>
      <c r="C219" s="6"/>
      <c r="D219" s="12"/>
      <c r="E219" s="10" t="str">
        <f t="shared" si="16"/>
        <v/>
      </c>
      <c r="F219" s="16"/>
      <c r="G219" s="13"/>
      <c r="H219" s="6"/>
      <c r="I219" s="6"/>
      <c r="J219" s="11" t="str">
        <f t="shared" si="17"/>
        <v/>
      </c>
      <c r="K219" s="17" t="str">
        <f t="shared" si="18"/>
        <v/>
      </c>
      <c r="L219" s="18" t="str">
        <f t="shared" si="19"/>
        <v/>
      </c>
      <c r="M219" s="18" t="str">
        <f>IF(J219&lt;&gt;-1,"",ROUND(F219*IFERROR(INDEX(Stocuri!$G$5:$G$204,MATCH(D219,Coduri,0)),0),2))</f>
        <v/>
      </c>
      <c r="N219" s="19" t="str">
        <f t="shared" si="20"/>
        <v/>
      </c>
    </row>
    <row r="220" spans="2:14" x14ac:dyDescent="0.2">
      <c r="B220" s="15"/>
      <c r="C220" s="6"/>
      <c r="D220" s="12"/>
      <c r="E220" s="10" t="str">
        <f t="shared" si="16"/>
        <v/>
      </c>
      <c r="F220" s="16"/>
      <c r="G220" s="13"/>
      <c r="H220" s="6"/>
      <c r="I220" s="6"/>
      <c r="J220" s="11" t="str">
        <f t="shared" si="17"/>
        <v/>
      </c>
      <c r="K220" s="17" t="str">
        <f t="shared" si="18"/>
        <v/>
      </c>
      <c r="L220" s="18" t="str">
        <f t="shared" si="19"/>
        <v/>
      </c>
      <c r="M220" s="18" t="str">
        <f>IF(J220&lt;&gt;-1,"",ROUND(F220*IFERROR(INDEX(Stocuri!$G$5:$G$204,MATCH(D220,Coduri,0)),0),2))</f>
        <v/>
      </c>
      <c r="N220" s="19" t="str">
        <f t="shared" si="20"/>
        <v/>
      </c>
    </row>
    <row r="221" spans="2:14" x14ac:dyDescent="0.2">
      <c r="B221" s="15"/>
      <c r="C221" s="6"/>
      <c r="D221" s="12"/>
      <c r="E221" s="10" t="str">
        <f t="shared" si="16"/>
        <v/>
      </c>
      <c r="F221" s="16"/>
      <c r="G221" s="13"/>
      <c r="H221" s="6"/>
      <c r="I221" s="6"/>
      <c r="J221" s="11" t="str">
        <f t="shared" si="17"/>
        <v/>
      </c>
      <c r="K221" s="17" t="str">
        <f t="shared" si="18"/>
        <v/>
      </c>
      <c r="L221" s="18" t="str">
        <f t="shared" si="19"/>
        <v/>
      </c>
      <c r="M221" s="18" t="str">
        <f>IF(J221&lt;&gt;-1,"",ROUND(F221*IFERROR(INDEX(Stocuri!$G$5:$G$204,MATCH(D221,Coduri,0)),0),2))</f>
        <v/>
      </c>
      <c r="N221" s="19" t="str">
        <f t="shared" si="20"/>
        <v/>
      </c>
    </row>
    <row r="222" spans="2:14" x14ac:dyDescent="0.2">
      <c r="B222" s="15"/>
      <c r="C222" s="6"/>
      <c r="D222" s="12"/>
      <c r="E222" s="10" t="str">
        <f t="shared" si="16"/>
        <v/>
      </c>
      <c r="F222" s="16"/>
      <c r="G222" s="13"/>
      <c r="H222" s="6"/>
      <c r="I222" s="6"/>
      <c r="J222" s="11" t="str">
        <f t="shared" si="17"/>
        <v/>
      </c>
      <c r="K222" s="17" t="str">
        <f t="shared" si="18"/>
        <v/>
      </c>
      <c r="L222" s="18" t="str">
        <f t="shared" si="19"/>
        <v/>
      </c>
      <c r="M222" s="18" t="str">
        <f>IF(J222&lt;&gt;-1,"",ROUND(F222*IFERROR(INDEX(Stocuri!$G$5:$G$204,MATCH(D222,Coduri,0)),0),2))</f>
        <v/>
      </c>
      <c r="N222" s="19" t="str">
        <f t="shared" si="20"/>
        <v/>
      </c>
    </row>
    <row r="223" spans="2:14" x14ac:dyDescent="0.2">
      <c r="B223" s="15"/>
      <c r="C223" s="6"/>
      <c r="D223" s="12"/>
      <c r="E223" s="10" t="str">
        <f t="shared" si="16"/>
        <v/>
      </c>
      <c r="F223" s="16"/>
      <c r="G223" s="13"/>
      <c r="H223" s="6"/>
      <c r="I223" s="6"/>
      <c r="J223" s="11" t="str">
        <f t="shared" si="17"/>
        <v/>
      </c>
      <c r="K223" s="17" t="str">
        <f t="shared" si="18"/>
        <v/>
      </c>
      <c r="L223" s="18" t="str">
        <f t="shared" si="19"/>
        <v/>
      </c>
      <c r="M223" s="18" t="str">
        <f>IF(J223&lt;&gt;-1,"",ROUND(F223*IFERROR(INDEX(Stocuri!$G$5:$G$204,MATCH(D223,Coduri,0)),0),2))</f>
        <v/>
      </c>
      <c r="N223" s="19" t="str">
        <f t="shared" si="20"/>
        <v/>
      </c>
    </row>
    <row r="224" spans="2:14" x14ac:dyDescent="0.2">
      <c r="B224" s="15"/>
      <c r="C224" s="6"/>
      <c r="D224" s="12"/>
      <c r="E224" s="10" t="str">
        <f t="shared" si="16"/>
        <v/>
      </c>
      <c r="F224" s="16"/>
      <c r="G224" s="13"/>
      <c r="H224" s="6"/>
      <c r="I224" s="6"/>
      <c r="J224" s="11" t="str">
        <f t="shared" si="17"/>
        <v/>
      </c>
      <c r="K224" s="17" t="str">
        <f t="shared" si="18"/>
        <v/>
      </c>
      <c r="L224" s="18" t="str">
        <f t="shared" si="19"/>
        <v/>
      </c>
      <c r="M224" s="18" t="str">
        <f>IF(J224&lt;&gt;-1,"",ROUND(F224*IFERROR(INDEX(Stocuri!$G$5:$G$204,MATCH(D224,Coduri,0)),0),2))</f>
        <v/>
      </c>
      <c r="N224" s="19" t="str">
        <f t="shared" si="20"/>
        <v/>
      </c>
    </row>
    <row r="225" spans="2:14" x14ac:dyDescent="0.2">
      <c r="B225" s="15"/>
      <c r="C225" s="6"/>
      <c r="D225" s="12"/>
      <c r="E225" s="10" t="str">
        <f t="shared" si="16"/>
        <v/>
      </c>
      <c r="F225" s="16"/>
      <c r="G225" s="13"/>
      <c r="H225" s="6"/>
      <c r="I225" s="6"/>
      <c r="J225" s="11" t="str">
        <f t="shared" si="17"/>
        <v/>
      </c>
      <c r="K225" s="17" t="str">
        <f t="shared" si="18"/>
        <v/>
      </c>
      <c r="L225" s="18" t="str">
        <f t="shared" si="19"/>
        <v/>
      </c>
      <c r="M225" s="18" t="str">
        <f>IF(J225&lt;&gt;-1,"",ROUND(F225*IFERROR(INDEX(Stocuri!$G$5:$G$204,MATCH(D225,Coduri,0)),0),2))</f>
        <v/>
      </c>
      <c r="N225" s="19" t="str">
        <f t="shared" si="20"/>
        <v/>
      </c>
    </row>
    <row r="226" spans="2:14" x14ac:dyDescent="0.2">
      <c r="B226" s="15"/>
      <c r="C226" s="6"/>
      <c r="D226" s="12"/>
      <c r="E226" s="10" t="str">
        <f t="shared" si="16"/>
        <v/>
      </c>
      <c r="F226" s="16"/>
      <c r="G226" s="13"/>
      <c r="H226" s="6"/>
      <c r="I226" s="6"/>
      <c r="J226" s="11" t="str">
        <f t="shared" si="17"/>
        <v/>
      </c>
      <c r="K226" s="17" t="str">
        <f t="shared" si="18"/>
        <v/>
      </c>
      <c r="L226" s="18" t="str">
        <f t="shared" si="19"/>
        <v/>
      </c>
      <c r="M226" s="18" t="str">
        <f>IF(J226&lt;&gt;-1,"",ROUND(F226*IFERROR(INDEX(Stocuri!$G$5:$G$204,MATCH(D226,Coduri,0)),0),2))</f>
        <v/>
      </c>
      <c r="N226" s="19" t="str">
        <f t="shared" si="20"/>
        <v/>
      </c>
    </row>
    <row r="227" spans="2:14" x14ac:dyDescent="0.2">
      <c r="B227" s="15"/>
      <c r="C227" s="6"/>
      <c r="D227" s="12"/>
      <c r="E227" s="10" t="str">
        <f t="shared" si="16"/>
        <v/>
      </c>
      <c r="F227" s="16"/>
      <c r="G227" s="13"/>
      <c r="H227" s="6"/>
      <c r="I227" s="6"/>
      <c r="J227" s="11" t="str">
        <f t="shared" si="17"/>
        <v/>
      </c>
      <c r="K227" s="17" t="str">
        <f t="shared" si="18"/>
        <v/>
      </c>
      <c r="L227" s="18" t="str">
        <f t="shared" si="19"/>
        <v/>
      </c>
      <c r="M227" s="18" t="str">
        <f>IF(J227&lt;&gt;-1,"",ROUND(F227*IFERROR(INDEX(Stocuri!$G$5:$G$204,MATCH(D227,Coduri,0)),0),2))</f>
        <v/>
      </c>
      <c r="N227" s="19" t="str">
        <f t="shared" si="20"/>
        <v/>
      </c>
    </row>
    <row r="228" spans="2:14" x14ac:dyDescent="0.2">
      <c r="B228" s="15"/>
      <c r="C228" s="6"/>
      <c r="D228" s="12"/>
      <c r="E228" s="10" t="str">
        <f t="shared" si="16"/>
        <v/>
      </c>
      <c r="F228" s="16"/>
      <c r="G228" s="13"/>
      <c r="H228" s="6"/>
      <c r="I228" s="6"/>
      <c r="J228" s="11" t="str">
        <f t="shared" si="17"/>
        <v/>
      </c>
      <c r="K228" s="17" t="str">
        <f t="shared" si="18"/>
        <v/>
      </c>
      <c r="L228" s="18" t="str">
        <f t="shared" si="19"/>
        <v/>
      </c>
      <c r="M228" s="18" t="str">
        <f>IF(J228&lt;&gt;-1,"",ROUND(F228*IFERROR(INDEX(Stocuri!$G$5:$G$204,MATCH(D228,Coduri,0)),0),2))</f>
        <v/>
      </c>
      <c r="N228" s="19" t="str">
        <f t="shared" si="20"/>
        <v/>
      </c>
    </row>
    <row r="229" spans="2:14" x14ac:dyDescent="0.2">
      <c r="B229" s="15"/>
      <c r="C229" s="6"/>
      <c r="D229" s="12"/>
      <c r="E229" s="10" t="str">
        <f t="shared" si="16"/>
        <v/>
      </c>
      <c r="F229" s="16"/>
      <c r="G229" s="13"/>
      <c r="H229" s="6"/>
      <c r="I229" s="6"/>
      <c r="J229" s="11" t="str">
        <f t="shared" si="17"/>
        <v/>
      </c>
      <c r="K229" s="17" t="str">
        <f t="shared" si="18"/>
        <v/>
      </c>
      <c r="L229" s="18" t="str">
        <f t="shared" si="19"/>
        <v/>
      </c>
      <c r="M229" s="18" t="str">
        <f>IF(J229&lt;&gt;-1,"",ROUND(F229*IFERROR(INDEX(Stocuri!$G$5:$G$204,MATCH(D229,Coduri,0)),0),2))</f>
        <v/>
      </c>
      <c r="N229" s="19" t="str">
        <f t="shared" si="20"/>
        <v/>
      </c>
    </row>
    <row r="230" spans="2:14" x14ac:dyDescent="0.2">
      <c r="B230" s="15"/>
      <c r="C230" s="6"/>
      <c r="D230" s="12"/>
      <c r="E230" s="10" t="str">
        <f t="shared" si="16"/>
        <v/>
      </c>
      <c r="F230" s="16"/>
      <c r="G230" s="13"/>
      <c r="H230" s="6"/>
      <c r="I230" s="6"/>
      <c r="J230" s="11" t="str">
        <f t="shared" si="17"/>
        <v/>
      </c>
      <c r="K230" s="17" t="str">
        <f t="shared" si="18"/>
        <v/>
      </c>
      <c r="L230" s="18" t="str">
        <f t="shared" si="19"/>
        <v/>
      </c>
      <c r="M230" s="18" t="str">
        <f>IF(J230&lt;&gt;-1,"",ROUND(F230*IFERROR(INDEX(Stocuri!$G$5:$G$204,MATCH(D230,Coduri,0)),0),2))</f>
        <v/>
      </c>
      <c r="N230" s="19" t="str">
        <f t="shared" si="20"/>
        <v/>
      </c>
    </row>
    <row r="231" spans="2:14" x14ac:dyDescent="0.2">
      <c r="B231" s="15"/>
      <c r="C231" s="6"/>
      <c r="D231" s="12"/>
      <c r="E231" s="10" t="str">
        <f t="shared" si="16"/>
        <v/>
      </c>
      <c r="F231" s="16"/>
      <c r="G231" s="13"/>
      <c r="H231" s="6"/>
      <c r="I231" s="6"/>
      <c r="J231" s="11" t="str">
        <f t="shared" si="17"/>
        <v/>
      </c>
      <c r="K231" s="17" t="str">
        <f t="shared" si="18"/>
        <v/>
      </c>
      <c r="L231" s="18" t="str">
        <f t="shared" si="19"/>
        <v/>
      </c>
      <c r="M231" s="18" t="str">
        <f>IF(J231&lt;&gt;-1,"",ROUND(F231*IFERROR(INDEX(Stocuri!$G$5:$G$204,MATCH(D231,Coduri,0)),0),2))</f>
        <v/>
      </c>
      <c r="N231" s="19" t="str">
        <f t="shared" si="20"/>
        <v/>
      </c>
    </row>
    <row r="232" spans="2:14" x14ac:dyDescent="0.2">
      <c r="B232" s="15"/>
      <c r="C232" s="6"/>
      <c r="D232" s="12"/>
      <c r="E232" s="10" t="str">
        <f t="shared" si="16"/>
        <v/>
      </c>
      <c r="F232" s="16"/>
      <c r="G232" s="13"/>
      <c r="H232" s="6"/>
      <c r="I232" s="6"/>
      <c r="J232" s="11" t="str">
        <f t="shared" si="17"/>
        <v/>
      </c>
      <c r="K232" s="17" t="str">
        <f t="shared" si="18"/>
        <v/>
      </c>
      <c r="L232" s="18" t="str">
        <f t="shared" si="19"/>
        <v/>
      </c>
      <c r="M232" s="18" t="str">
        <f>IF(J232&lt;&gt;-1,"",ROUND(F232*IFERROR(INDEX(Stocuri!$G$5:$G$204,MATCH(D232,Coduri,0)),0),2))</f>
        <v/>
      </c>
      <c r="N232" s="19" t="str">
        <f t="shared" si="20"/>
        <v/>
      </c>
    </row>
    <row r="233" spans="2:14" x14ac:dyDescent="0.2">
      <c r="B233" s="15"/>
      <c r="C233" s="6"/>
      <c r="D233" s="12"/>
      <c r="E233" s="10" t="str">
        <f t="shared" si="16"/>
        <v/>
      </c>
      <c r="F233" s="16"/>
      <c r="G233" s="13"/>
      <c r="H233" s="6"/>
      <c r="I233" s="6"/>
      <c r="J233" s="11" t="str">
        <f t="shared" si="17"/>
        <v/>
      </c>
      <c r="K233" s="17" t="str">
        <f t="shared" si="18"/>
        <v/>
      </c>
      <c r="L233" s="18" t="str">
        <f t="shared" si="19"/>
        <v/>
      </c>
      <c r="M233" s="18" t="str">
        <f>IF(J233&lt;&gt;-1,"",ROUND(F233*IFERROR(INDEX(Stocuri!$G$5:$G$204,MATCH(D233,Coduri,0)),0),2))</f>
        <v/>
      </c>
      <c r="N233" s="19" t="str">
        <f t="shared" si="20"/>
        <v/>
      </c>
    </row>
    <row r="234" spans="2:14" x14ac:dyDescent="0.2">
      <c r="B234" s="15"/>
      <c r="C234" s="6"/>
      <c r="D234" s="12"/>
      <c r="E234" s="10" t="str">
        <f t="shared" si="16"/>
        <v/>
      </c>
      <c r="F234" s="16"/>
      <c r="G234" s="13"/>
      <c r="H234" s="6"/>
      <c r="I234" s="6"/>
      <c r="J234" s="11" t="str">
        <f t="shared" si="17"/>
        <v/>
      </c>
      <c r="K234" s="17" t="str">
        <f t="shared" si="18"/>
        <v/>
      </c>
      <c r="L234" s="18" t="str">
        <f t="shared" si="19"/>
        <v/>
      </c>
      <c r="M234" s="18" t="str">
        <f>IF(J234&lt;&gt;-1,"",ROUND(F234*IFERROR(INDEX(Stocuri!$G$5:$G$204,MATCH(D234,Coduri,0)),0),2))</f>
        <v/>
      </c>
      <c r="N234" s="19" t="str">
        <f t="shared" si="20"/>
        <v/>
      </c>
    </row>
    <row r="235" spans="2:14" x14ac:dyDescent="0.2">
      <c r="B235" s="15"/>
      <c r="C235" s="6"/>
      <c r="D235" s="12"/>
      <c r="E235" s="10" t="str">
        <f t="shared" si="16"/>
        <v/>
      </c>
      <c r="F235" s="16"/>
      <c r="G235" s="13"/>
      <c r="H235" s="6"/>
      <c r="I235" s="6"/>
      <c r="J235" s="11" t="str">
        <f t="shared" si="17"/>
        <v/>
      </c>
      <c r="K235" s="17" t="str">
        <f t="shared" si="18"/>
        <v/>
      </c>
      <c r="L235" s="18" t="str">
        <f t="shared" si="19"/>
        <v/>
      </c>
      <c r="M235" s="18" t="str">
        <f>IF(J235&lt;&gt;-1,"",ROUND(F235*IFERROR(INDEX(Stocuri!$G$5:$G$204,MATCH(D235,Coduri,0)),0),2))</f>
        <v/>
      </c>
      <c r="N235" s="19" t="str">
        <f t="shared" si="20"/>
        <v/>
      </c>
    </row>
    <row r="236" spans="2:14" x14ac:dyDescent="0.2">
      <c r="B236" s="15"/>
      <c r="C236" s="6"/>
      <c r="D236" s="12"/>
      <c r="E236" s="10" t="str">
        <f t="shared" si="16"/>
        <v/>
      </c>
      <c r="F236" s="16"/>
      <c r="G236" s="13"/>
      <c r="H236" s="6"/>
      <c r="I236" s="6"/>
      <c r="J236" s="11" t="str">
        <f t="shared" si="17"/>
        <v/>
      </c>
      <c r="K236" s="17" t="str">
        <f t="shared" si="18"/>
        <v/>
      </c>
      <c r="L236" s="18" t="str">
        <f t="shared" si="19"/>
        <v/>
      </c>
      <c r="M236" s="18" t="str">
        <f>IF(J236&lt;&gt;-1,"",ROUND(F236*IFERROR(INDEX(Stocuri!$G$5:$G$204,MATCH(D236,Coduri,0)),0),2))</f>
        <v/>
      </c>
      <c r="N236" s="19" t="str">
        <f t="shared" si="20"/>
        <v/>
      </c>
    </row>
    <row r="237" spans="2:14" x14ac:dyDescent="0.2">
      <c r="B237" s="15"/>
      <c r="C237" s="6"/>
      <c r="D237" s="12"/>
      <c r="E237" s="10" t="str">
        <f t="shared" si="16"/>
        <v/>
      </c>
      <c r="F237" s="16"/>
      <c r="G237" s="13"/>
      <c r="H237" s="6"/>
      <c r="I237" s="6"/>
      <c r="J237" s="11" t="str">
        <f t="shared" si="17"/>
        <v/>
      </c>
      <c r="K237" s="17" t="str">
        <f t="shared" si="18"/>
        <v/>
      </c>
      <c r="L237" s="18" t="str">
        <f t="shared" si="19"/>
        <v/>
      </c>
      <c r="M237" s="18" t="str">
        <f>IF(J237&lt;&gt;-1,"",ROUND(F237*IFERROR(INDEX(Stocuri!$G$5:$G$204,MATCH(D237,Coduri,0)),0),2))</f>
        <v/>
      </c>
      <c r="N237" s="19" t="str">
        <f t="shared" si="20"/>
        <v/>
      </c>
    </row>
    <row r="238" spans="2:14" x14ac:dyDescent="0.2">
      <c r="B238" s="15"/>
      <c r="C238" s="6"/>
      <c r="D238" s="12"/>
      <c r="E238" s="10" t="str">
        <f t="shared" si="16"/>
        <v/>
      </c>
      <c r="F238" s="16"/>
      <c r="G238" s="13"/>
      <c r="H238" s="6"/>
      <c r="I238" s="6"/>
      <c r="J238" s="11" t="str">
        <f t="shared" si="17"/>
        <v/>
      </c>
      <c r="K238" s="17" t="str">
        <f t="shared" si="18"/>
        <v/>
      </c>
      <c r="L238" s="18" t="str">
        <f t="shared" si="19"/>
        <v/>
      </c>
      <c r="M238" s="18" t="str">
        <f>IF(J238&lt;&gt;-1,"",ROUND(F238*IFERROR(INDEX(Stocuri!$G$5:$G$204,MATCH(D238,Coduri,0)),0),2))</f>
        <v/>
      </c>
      <c r="N238" s="19" t="str">
        <f t="shared" si="20"/>
        <v/>
      </c>
    </row>
    <row r="239" spans="2:14" x14ac:dyDescent="0.2">
      <c r="B239" s="15"/>
      <c r="C239" s="6"/>
      <c r="D239" s="12"/>
      <c r="E239" s="10" t="str">
        <f t="shared" si="16"/>
        <v/>
      </c>
      <c r="F239" s="16"/>
      <c r="G239" s="13"/>
      <c r="H239" s="6"/>
      <c r="I239" s="6"/>
      <c r="J239" s="11" t="str">
        <f t="shared" si="17"/>
        <v/>
      </c>
      <c r="K239" s="17" t="str">
        <f t="shared" si="18"/>
        <v/>
      </c>
      <c r="L239" s="18" t="str">
        <f t="shared" si="19"/>
        <v/>
      </c>
      <c r="M239" s="18" t="str">
        <f>IF(J239&lt;&gt;-1,"",ROUND(F239*IFERROR(INDEX(Stocuri!$G$5:$G$204,MATCH(D239,Coduri,0)),0),2))</f>
        <v/>
      </c>
      <c r="N239" s="19" t="str">
        <f t="shared" si="20"/>
        <v/>
      </c>
    </row>
    <row r="240" spans="2:14" x14ac:dyDescent="0.2">
      <c r="B240" s="15"/>
      <c r="C240" s="6"/>
      <c r="D240" s="12"/>
      <c r="E240" s="10" t="str">
        <f t="shared" si="16"/>
        <v/>
      </c>
      <c r="F240" s="16"/>
      <c r="G240" s="13"/>
      <c r="H240" s="6"/>
      <c r="I240" s="6"/>
      <c r="J240" s="11" t="str">
        <f t="shared" si="17"/>
        <v/>
      </c>
      <c r="K240" s="17" t="str">
        <f t="shared" si="18"/>
        <v/>
      </c>
      <c r="L240" s="18" t="str">
        <f t="shared" si="19"/>
        <v/>
      </c>
      <c r="M240" s="18" t="str">
        <f>IF(J240&lt;&gt;-1,"",ROUND(F240*IFERROR(INDEX(Stocuri!$G$5:$G$204,MATCH(D240,Coduri,0)),0),2))</f>
        <v/>
      </c>
      <c r="N240" s="19" t="str">
        <f t="shared" si="20"/>
        <v/>
      </c>
    </row>
    <row r="241" spans="2:14" x14ac:dyDescent="0.2">
      <c r="B241" s="15"/>
      <c r="C241" s="6"/>
      <c r="D241" s="12"/>
      <c r="E241" s="10" t="str">
        <f t="shared" si="16"/>
        <v/>
      </c>
      <c r="F241" s="16"/>
      <c r="G241" s="13"/>
      <c r="H241" s="6"/>
      <c r="I241" s="6"/>
      <c r="J241" s="11" t="str">
        <f t="shared" si="17"/>
        <v/>
      </c>
      <c r="K241" s="17" t="str">
        <f t="shared" si="18"/>
        <v/>
      </c>
      <c r="L241" s="18" t="str">
        <f t="shared" si="19"/>
        <v/>
      </c>
      <c r="M241" s="18" t="str">
        <f>IF(J241&lt;&gt;-1,"",ROUND(F241*IFERROR(INDEX(Stocuri!$G$5:$G$204,MATCH(D241,Coduri,0)),0),2))</f>
        <v/>
      </c>
      <c r="N241" s="19" t="str">
        <f t="shared" si="20"/>
        <v/>
      </c>
    </row>
    <row r="242" spans="2:14" x14ac:dyDescent="0.2">
      <c r="B242" s="15"/>
      <c r="C242" s="6"/>
      <c r="D242" s="12"/>
      <c r="E242" s="10" t="str">
        <f t="shared" si="16"/>
        <v/>
      </c>
      <c r="F242" s="16"/>
      <c r="G242" s="13"/>
      <c r="H242" s="6"/>
      <c r="I242" s="6"/>
      <c r="J242" s="11" t="str">
        <f t="shared" si="17"/>
        <v/>
      </c>
      <c r="K242" s="17" t="str">
        <f t="shared" si="18"/>
        <v/>
      </c>
      <c r="L242" s="18" t="str">
        <f t="shared" si="19"/>
        <v/>
      </c>
      <c r="M242" s="18" t="str">
        <f>IF(J242&lt;&gt;-1,"",ROUND(F242*IFERROR(INDEX(Stocuri!$G$5:$G$204,MATCH(D242,Coduri,0)),0),2))</f>
        <v/>
      </c>
      <c r="N242" s="19" t="str">
        <f t="shared" si="20"/>
        <v/>
      </c>
    </row>
    <row r="243" spans="2:14" x14ac:dyDescent="0.2">
      <c r="B243" s="15"/>
      <c r="C243" s="6"/>
      <c r="D243" s="12"/>
      <c r="E243" s="10" t="str">
        <f t="shared" si="16"/>
        <v/>
      </c>
      <c r="F243" s="16"/>
      <c r="G243" s="13"/>
      <c r="H243" s="6"/>
      <c r="I243" s="6"/>
      <c r="J243" s="11" t="str">
        <f t="shared" si="17"/>
        <v/>
      </c>
      <c r="K243" s="17" t="str">
        <f t="shared" si="18"/>
        <v/>
      </c>
      <c r="L243" s="18" t="str">
        <f t="shared" si="19"/>
        <v/>
      </c>
      <c r="M243" s="18" t="str">
        <f>IF(J243&lt;&gt;-1,"",ROUND(F243*IFERROR(INDEX(Stocuri!$G$5:$G$204,MATCH(D243,Coduri,0)),0),2))</f>
        <v/>
      </c>
      <c r="N243" s="19" t="str">
        <f t="shared" si="20"/>
        <v/>
      </c>
    </row>
    <row r="244" spans="2:14" x14ac:dyDescent="0.2">
      <c r="B244" s="15"/>
      <c r="C244" s="6"/>
      <c r="D244" s="12"/>
      <c r="E244" s="10" t="str">
        <f t="shared" si="16"/>
        <v/>
      </c>
      <c r="F244" s="16"/>
      <c r="G244" s="13"/>
      <c r="H244" s="6"/>
      <c r="I244" s="6"/>
      <c r="J244" s="11" t="str">
        <f t="shared" si="17"/>
        <v/>
      </c>
      <c r="K244" s="17" t="str">
        <f t="shared" si="18"/>
        <v/>
      </c>
      <c r="L244" s="18" t="str">
        <f t="shared" si="19"/>
        <v/>
      </c>
      <c r="M244" s="18" t="str">
        <f>IF(J244&lt;&gt;-1,"",ROUND(F244*IFERROR(INDEX(Stocuri!$G$5:$G$204,MATCH(D244,Coduri,0)),0),2))</f>
        <v/>
      </c>
      <c r="N244" s="19" t="str">
        <f t="shared" si="20"/>
        <v/>
      </c>
    </row>
    <row r="245" spans="2:14" x14ac:dyDescent="0.2">
      <c r="B245" s="15"/>
      <c r="C245" s="6"/>
      <c r="D245" s="12"/>
      <c r="E245" s="10" t="str">
        <f t="shared" si="16"/>
        <v/>
      </c>
      <c r="F245" s="16"/>
      <c r="G245" s="13"/>
      <c r="H245" s="6"/>
      <c r="I245" s="6"/>
      <c r="J245" s="11" t="str">
        <f t="shared" si="17"/>
        <v/>
      </c>
      <c r="K245" s="17" t="str">
        <f t="shared" si="18"/>
        <v/>
      </c>
      <c r="L245" s="18" t="str">
        <f t="shared" si="19"/>
        <v/>
      </c>
      <c r="M245" s="18" t="str">
        <f>IF(J245&lt;&gt;-1,"",ROUND(F245*IFERROR(INDEX(Stocuri!$G$5:$G$204,MATCH(D245,Coduri,0)),0),2))</f>
        <v/>
      </c>
      <c r="N245" s="19" t="str">
        <f t="shared" si="20"/>
        <v/>
      </c>
    </row>
    <row r="246" spans="2:14" x14ac:dyDescent="0.2">
      <c r="B246" s="15"/>
      <c r="C246" s="6"/>
      <c r="D246" s="12"/>
      <c r="E246" s="10" t="str">
        <f t="shared" si="16"/>
        <v/>
      </c>
      <c r="F246" s="16"/>
      <c r="G246" s="13"/>
      <c r="H246" s="6"/>
      <c r="I246" s="6"/>
      <c r="J246" s="11" t="str">
        <f t="shared" si="17"/>
        <v/>
      </c>
      <c r="K246" s="17" t="str">
        <f t="shared" si="18"/>
        <v/>
      </c>
      <c r="L246" s="18" t="str">
        <f t="shared" si="19"/>
        <v/>
      </c>
      <c r="M246" s="18" t="str">
        <f>IF(J246&lt;&gt;-1,"",ROUND(F246*IFERROR(INDEX(Stocuri!$G$5:$G$204,MATCH(D246,Coduri,0)),0),2))</f>
        <v/>
      </c>
      <c r="N246" s="19" t="str">
        <f t="shared" si="20"/>
        <v/>
      </c>
    </row>
    <row r="247" spans="2:14" x14ac:dyDescent="0.2">
      <c r="B247" s="15"/>
      <c r="C247" s="6"/>
      <c r="D247" s="12"/>
      <c r="E247" s="10" t="str">
        <f t="shared" si="16"/>
        <v/>
      </c>
      <c r="F247" s="16"/>
      <c r="G247" s="13"/>
      <c r="H247" s="6"/>
      <c r="I247" s="6"/>
      <c r="J247" s="11" t="str">
        <f t="shared" si="17"/>
        <v/>
      </c>
      <c r="K247" s="17" t="str">
        <f t="shared" si="18"/>
        <v/>
      </c>
      <c r="L247" s="18" t="str">
        <f t="shared" si="19"/>
        <v/>
      </c>
      <c r="M247" s="18" t="str">
        <f>IF(J247&lt;&gt;-1,"",ROUND(F247*IFERROR(INDEX(Stocuri!$G$5:$G$204,MATCH(D247,Coduri,0)),0),2))</f>
        <v/>
      </c>
      <c r="N247" s="19" t="str">
        <f t="shared" si="20"/>
        <v/>
      </c>
    </row>
    <row r="248" spans="2:14" x14ac:dyDescent="0.2">
      <c r="B248" s="15"/>
      <c r="C248" s="6"/>
      <c r="D248" s="12"/>
      <c r="E248" s="10" t="str">
        <f t="shared" si="16"/>
        <v/>
      </c>
      <c r="F248" s="16"/>
      <c r="G248" s="13"/>
      <c r="H248" s="6"/>
      <c r="I248" s="6"/>
      <c r="J248" s="11" t="str">
        <f t="shared" si="17"/>
        <v/>
      </c>
      <c r="K248" s="17" t="str">
        <f t="shared" si="18"/>
        <v/>
      </c>
      <c r="L248" s="18" t="str">
        <f t="shared" si="19"/>
        <v/>
      </c>
      <c r="M248" s="18" t="str">
        <f>IF(J248&lt;&gt;-1,"",ROUND(F248*IFERROR(INDEX(Stocuri!$G$5:$G$204,MATCH(D248,Coduri,0)),0),2))</f>
        <v/>
      </c>
      <c r="N248" s="19" t="str">
        <f t="shared" si="20"/>
        <v/>
      </c>
    </row>
    <row r="249" spans="2:14" x14ac:dyDescent="0.2">
      <c r="B249" s="15"/>
      <c r="C249" s="6"/>
      <c r="D249" s="12"/>
      <c r="E249" s="10" t="str">
        <f t="shared" si="16"/>
        <v/>
      </c>
      <c r="F249" s="16"/>
      <c r="G249" s="13"/>
      <c r="H249" s="6"/>
      <c r="I249" s="6"/>
      <c r="J249" s="11" t="str">
        <f t="shared" si="17"/>
        <v/>
      </c>
      <c r="K249" s="17" t="str">
        <f t="shared" si="18"/>
        <v/>
      </c>
      <c r="L249" s="18" t="str">
        <f t="shared" si="19"/>
        <v/>
      </c>
      <c r="M249" s="18" t="str">
        <f>IF(J249&lt;&gt;-1,"",ROUND(F249*IFERROR(INDEX(Stocuri!$G$5:$G$204,MATCH(D249,Coduri,0)),0),2))</f>
        <v/>
      </c>
      <c r="N249" s="19" t="str">
        <f t="shared" si="20"/>
        <v/>
      </c>
    </row>
    <row r="250" spans="2:14" x14ac:dyDescent="0.2">
      <c r="B250" s="15"/>
      <c r="C250" s="6"/>
      <c r="D250" s="12"/>
      <c r="E250" s="10" t="str">
        <f t="shared" si="16"/>
        <v/>
      </c>
      <c r="F250" s="16"/>
      <c r="G250" s="13"/>
      <c r="H250" s="6"/>
      <c r="I250" s="6"/>
      <c r="J250" s="11" t="str">
        <f t="shared" si="17"/>
        <v/>
      </c>
      <c r="K250" s="17" t="str">
        <f t="shared" si="18"/>
        <v/>
      </c>
      <c r="L250" s="18" t="str">
        <f t="shared" si="19"/>
        <v/>
      </c>
      <c r="M250" s="18" t="str">
        <f>IF(J250&lt;&gt;-1,"",ROUND(F250*IFERROR(INDEX(Stocuri!$G$5:$G$204,MATCH(D250,Coduri,0)),0),2))</f>
        <v/>
      </c>
      <c r="N250" s="19" t="str">
        <f t="shared" si="20"/>
        <v/>
      </c>
    </row>
    <row r="251" spans="2:14" x14ac:dyDescent="0.2">
      <c r="B251" s="15"/>
      <c r="C251" s="6"/>
      <c r="D251" s="12"/>
      <c r="E251" s="10" t="str">
        <f t="shared" si="16"/>
        <v/>
      </c>
      <c r="F251" s="16"/>
      <c r="G251" s="13"/>
      <c r="H251" s="6"/>
      <c r="I251" s="6"/>
      <c r="J251" s="11" t="str">
        <f t="shared" si="17"/>
        <v/>
      </c>
      <c r="K251" s="17" t="str">
        <f t="shared" si="18"/>
        <v/>
      </c>
      <c r="L251" s="18" t="str">
        <f t="shared" si="19"/>
        <v/>
      </c>
      <c r="M251" s="18" t="str">
        <f>IF(J251&lt;&gt;-1,"",ROUND(F251*IFERROR(INDEX(Stocuri!$G$5:$G$204,MATCH(D251,Coduri,0)),0),2))</f>
        <v/>
      </c>
      <c r="N251" s="19" t="str">
        <f t="shared" si="20"/>
        <v/>
      </c>
    </row>
    <row r="252" spans="2:14" x14ac:dyDescent="0.2">
      <c r="B252" s="15"/>
      <c r="C252" s="6"/>
      <c r="D252" s="12"/>
      <c r="E252" s="10" t="str">
        <f t="shared" si="16"/>
        <v/>
      </c>
      <c r="F252" s="16"/>
      <c r="G252" s="13"/>
      <c r="H252" s="6"/>
      <c r="I252" s="6"/>
      <c r="J252" s="11" t="str">
        <f t="shared" si="17"/>
        <v/>
      </c>
      <c r="K252" s="17" t="str">
        <f t="shared" si="18"/>
        <v/>
      </c>
      <c r="L252" s="18" t="str">
        <f t="shared" si="19"/>
        <v/>
      </c>
      <c r="M252" s="18" t="str">
        <f>IF(J252&lt;&gt;-1,"",ROUND(F252*IFERROR(INDEX(Stocuri!$G$5:$G$204,MATCH(D252,Coduri,0)),0),2))</f>
        <v/>
      </c>
      <c r="N252" s="19" t="str">
        <f t="shared" si="20"/>
        <v/>
      </c>
    </row>
    <row r="253" spans="2:14" x14ac:dyDescent="0.2">
      <c r="B253" s="15"/>
      <c r="C253" s="6"/>
      <c r="D253" s="12"/>
      <c r="E253" s="10" t="str">
        <f t="shared" si="16"/>
        <v/>
      </c>
      <c r="F253" s="16"/>
      <c r="G253" s="13"/>
      <c r="H253" s="6"/>
      <c r="I253" s="6"/>
      <c r="J253" s="11" t="str">
        <f t="shared" si="17"/>
        <v/>
      </c>
      <c r="K253" s="17" t="str">
        <f t="shared" si="18"/>
        <v/>
      </c>
      <c r="L253" s="18" t="str">
        <f t="shared" si="19"/>
        <v/>
      </c>
      <c r="M253" s="18" t="str">
        <f>IF(J253&lt;&gt;-1,"",ROUND(F253*IFERROR(INDEX(Stocuri!$G$5:$G$204,MATCH(D253,Coduri,0)),0),2))</f>
        <v/>
      </c>
      <c r="N253" s="19" t="str">
        <f t="shared" si="20"/>
        <v/>
      </c>
    </row>
    <row r="254" spans="2:14" x14ac:dyDescent="0.2">
      <c r="B254" s="15"/>
      <c r="C254" s="6"/>
      <c r="D254" s="12"/>
      <c r="E254" s="10" t="str">
        <f t="shared" si="16"/>
        <v/>
      </c>
      <c r="F254" s="16"/>
      <c r="G254" s="13"/>
      <c r="H254" s="6"/>
      <c r="I254" s="6"/>
      <c r="J254" s="11" t="str">
        <f t="shared" si="17"/>
        <v/>
      </c>
      <c r="K254" s="17" t="str">
        <f t="shared" si="18"/>
        <v/>
      </c>
      <c r="L254" s="18" t="str">
        <f t="shared" si="19"/>
        <v/>
      </c>
      <c r="M254" s="18" t="str">
        <f>IF(J254&lt;&gt;-1,"",ROUND(F254*IFERROR(INDEX(Stocuri!$G$5:$G$204,MATCH(D254,Coduri,0)),0),2))</f>
        <v/>
      </c>
      <c r="N254" s="19" t="str">
        <f t="shared" si="20"/>
        <v/>
      </c>
    </row>
    <row r="255" spans="2:14" x14ac:dyDescent="0.2">
      <c r="B255" s="15"/>
      <c r="C255" s="6"/>
      <c r="D255" s="12"/>
      <c r="E255" s="10" t="str">
        <f t="shared" si="16"/>
        <v/>
      </c>
      <c r="F255" s="16"/>
      <c r="G255" s="13"/>
      <c r="H255" s="6"/>
      <c r="I255" s="6"/>
      <c r="J255" s="11" t="str">
        <f t="shared" si="17"/>
        <v/>
      </c>
      <c r="K255" s="17" t="str">
        <f t="shared" si="18"/>
        <v/>
      </c>
      <c r="L255" s="18" t="str">
        <f t="shared" si="19"/>
        <v/>
      </c>
      <c r="M255" s="18" t="str">
        <f>IF(J255&lt;&gt;-1,"",ROUND(F255*IFERROR(INDEX(Stocuri!$G$5:$G$204,MATCH(D255,Coduri,0)),0),2))</f>
        <v/>
      </c>
      <c r="N255" s="19" t="str">
        <f t="shared" si="20"/>
        <v/>
      </c>
    </row>
    <row r="256" spans="2:14" x14ac:dyDescent="0.2">
      <c r="B256" s="15"/>
      <c r="C256" s="6"/>
      <c r="D256" s="12"/>
      <c r="E256" s="10" t="str">
        <f t="shared" si="16"/>
        <v/>
      </c>
      <c r="F256" s="16"/>
      <c r="G256" s="13"/>
      <c r="H256" s="6"/>
      <c r="I256" s="6"/>
      <c r="J256" s="11" t="str">
        <f t="shared" si="17"/>
        <v/>
      </c>
      <c r="K256" s="17" t="str">
        <f t="shared" si="18"/>
        <v/>
      </c>
      <c r="L256" s="18" t="str">
        <f t="shared" si="19"/>
        <v/>
      </c>
      <c r="M256" s="18" t="str">
        <f>IF(J256&lt;&gt;-1,"",ROUND(F256*IFERROR(INDEX(Stocuri!$G$5:$G$204,MATCH(D256,Coduri,0)),0),2))</f>
        <v/>
      </c>
      <c r="N256" s="19" t="str">
        <f t="shared" si="20"/>
        <v/>
      </c>
    </row>
    <row r="257" spans="2:14" x14ac:dyDescent="0.2">
      <c r="B257" s="15"/>
      <c r="C257" s="6"/>
      <c r="D257" s="12"/>
      <c r="E257" s="10" t="str">
        <f t="shared" si="16"/>
        <v/>
      </c>
      <c r="F257" s="16"/>
      <c r="G257" s="13"/>
      <c r="H257" s="6"/>
      <c r="I257" s="6"/>
      <c r="J257" s="11" t="str">
        <f t="shared" si="17"/>
        <v/>
      </c>
      <c r="K257" s="17" t="str">
        <f t="shared" si="18"/>
        <v/>
      </c>
      <c r="L257" s="18" t="str">
        <f t="shared" si="19"/>
        <v/>
      </c>
      <c r="M257" s="18" t="str">
        <f>IF(J257&lt;&gt;-1,"",ROUND(F257*IFERROR(INDEX(Stocuri!$G$5:$G$204,MATCH(D257,Coduri,0)),0),2))</f>
        <v/>
      </c>
      <c r="N257" s="19" t="str">
        <f t="shared" si="20"/>
        <v/>
      </c>
    </row>
    <row r="258" spans="2:14" x14ac:dyDescent="0.2">
      <c r="B258" s="15"/>
      <c r="C258" s="6"/>
      <c r="D258" s="12"/>
      <c r="E258" s="10" t="str">
        <f t="shared" si="16"/>
        <v/>
      </c>
      <c r="F258" s="16"/>
      <c r="G258" s="13"/>
      <c r="H258" s="6"/>
      <c r="I258" s="6"/>
      <c r="J258" s="11" t="str">
        <f t="shared" si="17"/>
        <v/>
      </c>
      <c r="K258" s="17" t="str">
        <f t="shared" si="18"/>
        <v/>
      </c>
      <c r="L258" s="18" t="str">
        <f t="shared" si="19"/>
        <v/>
      </c>
      <c r="M258" s="18" t="str">
        <f>IF(J258&lt;&gt;-1,"",ROUND(F258*IFERROR(INDEX(Stocuri!$G$5:$G$204,MATCH(D258,Coduri,0)),0),2))</f>
        <v/>
      </c>
      <c r="N258" s="19" t="str">
        <f t="shared" si="20"/>
        <v/>
      </c>
    </row>
    <row r="259" spans="2:14" x14ac:dyDescent="0.2">
      <c r="B259" s="15"/>
      <c r="C259" s="6"/>
      <c r="D259" s="12"/>
      <c r="E259" s="10" t="str">
        <f t="shared" si="16"/>
        <v/>
      </c>
      <c r="F259" s="16"/>
      <c r="G259" s="13"/>
      <c r="H259" s="6"/>
      <c r="I259" s="6"/>
      <c r="J259" s="11" t="str">
        <f t="shared" si="17"/>
        <v/>
      </c>
      <c r="K259" s="17" t="str">
        <f t="shared" si="18"/>
        <v/>
      </c>
      <c r="L259" s="18" t="str">
        <f t="shared" si="19"/>
        <v/>
      </c>
      <c r="M259" s="18" t="str">
        <f>IF(J259&lt;&gt;-1,"",ROUND(F259*IFERROR(INDEX(Stocuri!$G$5:$G$204,MATCH(D259,Coduri,0)),0),2))</f>
        <v/>
      </c>
      <c r="N259" s="19" t="str">
        <f t="shared" si="20"/>
        <v/>
      </c>
    </row>
    <row r="260" spans="2:14" x14ac:dyDescent="0.2">
      <c r="B260" s="15"/>
      <c r="C260" s="6"/>
      <c r="D260" s="12"/>
      <c r="E260" s="10" t="str">
        <f t="shared" si="16"/>
        <v/>
      </c>
      <c r="F260" s="16"/>
      <c r="G260" s="13"/>
      <c r="H260" s="6"/>
      <c r="I260" s="6"/>
      <c r="J260" s="11" t="str">
        <f t="shared" si="17"/>
        <v/>
      </c>
      <c r="K260" s="17" t="str">
        <f t="shared" si="18"/>
        <v/>
      </c>
      <c r="L260" s="18" t="str">
        <f t="shared" si="19"/>
        <v/>
      </c>
      <c r="M260" s="18" t="str">
        <f>IF(J260&lt;&gt;-1,"",ROUND(F260*IFERROR(INDEX(Stocuri!$G$5:$G$204,MATCH(D260,Coduri,0)),0),2))</f>
        <v/>
      </c>
      <c r="N260" s="19" t="str">
        <f t="shared" si="20"/>
        <v/>
      </c>
    </row>
    <row r="261" spans="2:14" x14ac:dyDescent="0.2">
      <c r="B261" s="15"/>
      <c r="C261" s="6"/>
      <c r="D261" s="12"/>
      <c r="E261" s="10" t="str">
        <f t="shared" ref="E261:E324" si="21">IF(D261="","",IFERROR(VLOOKUP(D261,Catalog,2,FALSE),""))</f>
        <v/>
      </c>
      <c r="F261" s="16"/>
      <c r="G261" s="13"/>
      <c r="H261" s="6"/>
      <c r="I261" s="6"/>
      <c r="J261" s="11" t="str">
        <f t="shared" ref="J261:J324" si="22">IF(C261="","",IFERROR(VLOOKUP(C261,TipSemn,2,FALSE),""))</f>
        <v/>
      </c>
      <c r="K261" s="17" t="str">
        <f t="shared" ref="K261:K324" si="23">IF(OR(J261="",F261=""),"",J261*F261)</f>
        <v/>
      </c>
      <c r="L261" s="18" t="str">
        <f t="shared" ref="L261:L324" si="24">IF(OR(J261&lt;&gt;1,G261=""),"",ROUND(F261*G261,2))</f>
        <v/>
      </c>
      <c r="M261" s="18" t="str">
        <f>IF(J261&lt;&gt;-1,"",ROUND(F261*IFERROR(INDEX(Stocuri!$G$5:$G$204,MATCH(D261,Coduri,0)),0),2))</f>
        <v/>
      </c>
      <c r="N261" s="19" t="str">
        <f t="shared" ref="N261:N324" si="25">IF(AND(B261="",D261=""),"",TRIM(IF(OR(B261="",C261="",D261="",F261=""),"Date incomplete. ","")&amp;IF(AND(D261&lt;&gt;"",E261=""),"Cod necunoscut. ","")&amp;IF(AND(J261=1,C261&lt;&gt;"Retur de la client",C261&lt;&gt;"Ajustare inventar +",G261=""),"Lipsește prețul de intrare. ","")&amp;IF(AND(J261=-1,D261&lt;&gt;"",SUMIFS($K$5:$K$2004,$D$5:$D$2004,D261,$B$5:$B$2004,"&lt;="&amp;B261)&lt;0),"Stoc insuficient la această dată. ","")&amp;IF(AND(C261&lt;&gt;"Stoc inițial",H261=""),"Lipsește documentul. ","")))</f>
        <v/>
      </c>
    </row>
    <row r="262" spans="2:14" x14ac:dyDescent="0.2">
      <c r="B262" s="15"/>
      <c r="C262" s="6"/>
      <c r="D262" s="12"/>
      <c r="E262" s="10" t="str">
        <f t="shared" si="21"/>
        <v/>
      </c>
      <c r="F262" s="16"/>
      <c r="G262" s="13"/>
      <c r="H262" s="6"/>
      <c r="I262" s="6"/>
      <c r="J262" s="11" t="str">
        <f t="shared" si="22"/>
        <v/>
      </c>
      <c r="K262" s="17" t="str">
        <f t="shared" si="23"/>
        <v/>
      </c>
      <c r="L262" s="18" t="str">
        <f t="shared" si="24"/>
        <v/>
      </c>
      <c r="M262" s="18" t="str">
        <f>IF(J262&lt;&gt;-1,"",ROUND(F262*IFERROR(INDEX(Stocuri!$G$5:$G$204,MATCH(D262,Coduri,0)),0),2))</f>
        <v/>
      </c>
      <c r="N262" s="19" t="str">
        <f t="shared" si="25"/>
        <v/>
      </c>
    </row>
    <row r="263" spans="2:14" x14ac:dyDescent="0.2">
      <c r="B263" s="15"/>
      <c r="C263" s="6"/>
      <c r="D263" s="12"/>
      <c r="E263" s="10" t="str">
        <f t="shared" si="21"/>
        <v/>
      </c>
      <c r="F263" s="16"/>
      <c r="G263" s="13"/>
      <c r="H263" s="6"/>
      <c r="I263" s="6"/>
      <c r="J263" s="11" t="str">
        <f t="shared" si="22"/>
        <v/>
      </c>
      <c r="K263" s="17" t="str">
        <f t="shared" si="23"/>
        <v/>
      </c>
      <c r="L263" s="18" t="str">
        <f t="shared" si="24"/>
        <v/>
      </c>
      <c r="M263" s="18" t="str">
        <f>IF(J263&lt;&gt;-1,"",ROUND(F263*IFERROR(INDEX(Stocuri!$G$5:$G$204,MATCH(D263,Coduri,0)),0),2))</f>
        <v/>
      </c>
      <c r="N263" s="19" t="str">
        <f t="shared" si="25"/>
        <v/>
      </c>
    </row>
    <row r="264" spans="2:14" x14ac:dyDescent="0.2">
      <c r="B264" s="15"/>
      <c r="C264" s="6"/>
      <c r="D264" s="12"/>
      <c r="E264" s="10" t="str">
        <f t="shared" si="21"/>
        <v/>
      </c>
      <c r="F264" s="16"/>
      <c r="G264" s="13"/>
      <c r="H264" s="6"/>
      <c r="I264" s="6"/>
      <c r="J264" s="11" t="str">
        <f t="shared" si="22"/>
        <v/>
      </c>
      <c r="K264" s="17" t="str">
        <f t="shared" si="23"/>
        <v/>
      </c>
      <c r="L264" s="18" t="str">
        <f t="shared" si="24"/>
        <v/>
      </c>
      <c r="M264" s="18" t="str">
        <f>IF(J264&lt;&gt;-1,"",ROUND(F264*IFERROR(INDEX(Stocuri!$G$5:$G$204,MATCH(D264,Coduri,0)),0),2))</f>
        <v/>
      </c>
      <c r="N264" s="19" t="str">
        <f t="shared" si="25"/>
        <v/>
      </c>
    </row>
    <row r="265" spans="2:14" x14ac:dyDescent="0.2">
      <c r="B265" s="15"/>
      <c r="C265" s="6"/>
      <c r="D265" s="12"/>
      <c r="E265" s="10" t="str">
        <f t="shared" si="21"/>
        <v/>
      </c>
      <c r="F265" s="16"/>
      <c r="G265" s="13"/>
      <c r="H265" s="6"/>
      <c r="I265" s="6"/>
      <c r="J265" s="11" t="str">
        <f t="shared" si="22"/>
        <v/>
      </c>
      <c r="K265" s="17" t="str">
        <f t="shared" si="23"/>
        <v/>
      </c>
      <c r="L265" s="18" t="str">
        <f t="shared" si="24"/>
        <v/>
      </c>
      <c r="M265" s="18" t="str">
        <f>IF(J265&lt;&gt;-1,"",ROUND(F265*IFERROR(INDEX(Stocuri!$G$5:$G$204,MATCH(D265,Coduri,0)),0),2))</f>
        <v/>
      </c>
      <c r="N265" s="19" t="str">
        <f t="shared" si="25"/>
        <v/>
      </c>
    </row>
    <row r="266" spans="2:14" x14ac:dyDescent="0.2">
      <c r="B266" s="15"/>
      <c r="C266" s="6"/>
      <c r="D266" s="12"/>
      <c r="E266" s="10" t="str">
        <f t="shared" si="21"/>
        <v/>
      </c>
      <c r="F266" s="16"/>
      <c r="G266" s="13"/>
      <c r="H266" s="6"/>
      <c r="I266" s="6"/>
      <c r="J266" s="11" t="str">
        <f t="shared" si="22"/>
        <v/>
      </c>
      <c r="K266" s="17" t="str">
        <f t="shared" si="23"/>
        <v/>
      </c>
      <c r="L266" s="18" t="str">
        <f t="shared" si="24"/>
        <v/>
      </c>
      <c r="M266" s="18" t="str">
        <f>IF(J266&lt;&gt;-1,"",ROUND(F266*IFERROR(INDEX(Stocuri!$G$5:$G$204,MATCH(D266,Coduri,0)),0),2))</f>
        <v/>
      </c>
      <c r="N266" s="19" t="str">
        <f t="shared" si="25"/>
        <v/>
      </c>
    </row>
    <row r="267" spans="2:14" x14ac:dyDescent="0.2">
      <c r="B267" s="15"/>
      <c r="C267" s="6"/>
      <c r="D267" s="12"/>
      <c r="E267" s="10" t="str">
        <f t="shared" si="21"/>
        <v/>
      </c>
      <c r="F267" s="16"/>
      <c r="G267" s="13"/>
      <c r="H267" s="6"/>
      <c r="I267" s="6"/>
      <c r="J267" s="11" t="str">
        <f t="shared" si="22"/>
        <v/>
      </c>
      <c r="K267" s="17" t="str">
        <f t="shared" si="23"/>
        <v/>
      </c>
      <c r="L267" s="18" t="str">
        <f t="shared" si="24"/>
        <v/>
      </c>
      <c r="M267" s="18" t="str">
        <f>IF(J267&lt;&gt;-1,"",ROUND(F267*IFERROR(INDEX(Stocuri!$G$5:$G$204,MATCH(D267,Coduri,0)),0),2))</f>
        <v/>
      </c>
      <c r="N267" s="19" t="str">
        <f t="shared" si="25"/>
        <v/>
      </c>
    </row>
    <row r="268" spans="2:14" x14ac:dyDescent="0.2">
      <c r="B268" s="15"/>
      <c r="C268" s="6"/>
      <c r="D268" s="12"/>
      <c r="E268" s="10" t="str">
        <f t="shared" si="21"/>
        <v/>
      </c>
      <c r="F268" s="16"/>
      <c r="G268" s="13"/>
      <c r="H268" s="6"/>
      <c r="I268" s="6"/>
      <c r="J268" s="11" t="str">
        <f t="shared" si="22"/>
        <v/>
      </c>
      <c r="K268" s="17" t="str">
        <f t="shared" si="23"/>
        <v/>
      </c>
      <c r="L268" s="18" t="str">
        <f t="shared" si="24"/>
        <v/>
      </c>
      <c r="M268" s="18" t="str">
        <f>IF(J268&lt;&gt;-1,"",ROUND(F268*IFERROR(INDEX(Stocuri!$G$5:$G$204,MATCH(D268,Coduri,0)),0),2))</f>
        <v/>
      </c>
      <c r="N268" s="19" t="str">
        <f t="shared" si="25"/>
        <v/>
      </c>
    </row>
    <row r="269" spans="2:14" x14ac:dyDescent="0.2">
      <c r="B269" s="15"/>
      <c r="C269" s="6"/>
      <c r="D269" s="12"/>
      <c r="E269" s="10" t="str">
        <f t="shared" si="21"/>
        <v/>
      </c>
      <c r="F269" s="16"/>
      <c r="G269" s="13"/>
      <c r="H269" s="6"/>
      <c r="I269" s="6"/>
      <c r="J269" s="11" t="str">
        <f t="shared" si="22"/>
        <v/>
      </c>
      <c r="K269" s="17" t="str">
        <f t="shared" si="23"/>
        <v/>
      </c>
      <c r="L269" s="18" t="str">
        <f t="shared" si="24"/>
        <v/>
      </c>
      <c r="M269" s="18" t="str">
        <f>IF(J269&lt;&gt;-1,"",ROUND(F269*IFERROR(INDEX(Stocuri!$G$5:$G$204,MATCH(D269,Coduri,0)),0),2))</f>
        <v/>
      </c>
      <c r="N269" s="19" t="str">
        <f t="shared" si="25"/>
        <v/>
      </c>
    </row>
    <row r="270" spans="2:14" x14ac:dyDescent="0.2">
      <c r="B270" s="15"/>
      <c r="C270" s="6"/>
      <c r="D270" s="12"/>
      <c r="E270" s="10" t="str">
        <f t="shared" si="21"/>
        <v/>
      </c>
      <c r="F270" s="16"/>
      <c r="G270" s="13"/>
      <c r="H270" s="6"/>
      <c r="I270" s="6"/>
      <c r="J270" s="11" t="str">
        <f t="shared" si="22"/>
        <v/>
      </c>
      <c r="K270" s="17" t="str">
        <f t="shared" si="23"/>
        <v/>
      </c>
      <c r="L270" s="18" t="str">
        <f t="shared" si="24"/>
        <v/>
      </c>
      <c r="M270" s="18" t="str">
        <f>IF(J270&lt;&gt;-1,"",ROUND(F270*IFERROR(INDEX(Stocuri!$G$5:$G$204,MATCH(D270,Coduri,0)),0),2))</f>
        <v/>
      </c>
      <c r="N270" s="19" t="str">
        <f t="shared" si="25"/>
        <v/>
      </c>
    </row>
    <row r="271" spans="2:14" x14ac:dyDescent="0.2">
      <c r="B271" s="15"/>
      <c r="C271" s="6"/>
      <c r="D271" s="12"/>
      <c r="E271" s="10" t="str">
        <f t="shared" si="21"/>
        <v/>
      </c>
      <c r="F271" s="16"/>
      <c r="G271" s="13"/>
      <c r="H271" s="6"/>
      <c r="I271" s="6"/>
      <c r="J271" s="11" t="str">
        <f t="shared" si="22"/>
        <v/>
      </c>
      <c r="K271" s="17" t="str">
        <f t="shared" si="23"/>
        <v/>
      </c>
      <c r="L271" s="18" t="str">
        <f t="shared" si="24"/>
        <v/>
      </c>
      <c r="M271" s="18" t="str">
        <f>IF(J271&lt;&gt;-1,"",ROUND(F271*IFERROR(INDEX(Stocuri!$G$5:$G$204,MATCH(D271,Coduri,0)),0),2))</f>
        <v/>
      </c>
      <c r="N271" s="19" t="str">
        <f t="shared" si="25"/>
        <v/>
      </c>
    </row>
    <row r="272" spans="2:14" x14ac:dyDescent="0.2">
      <c r="B272" s="15"/>
      <c r="C272" s="6"/>
      <c r="D272" s="12"/>
      <c r="E272" s="10" t="str">
        <f t="shared" si="21"/>
        <v/>
      </c>
      <c r="F272" s="16"/>
      <c r="G272" s="13"/>
      <c r="H272" s="6"/>
      <c r="I272" s="6"/>
      <c r="J272" s="11" t="str">
        <f t="shared" si="22"/>
        <v/>
      </c>
      <c r="K272" s="17" t="str">
        <f t="shared" si="23"/>
        <v/>
      </c>
      <c r="L272" s="18" t="str">
        <f t="shared" si="24"/>
        <v/>
      </c>
      <c r="M272" s="18" t="str">
        <f>IF(J272&lt;&gt;-1,"",ROUND(F272*IFERROR(INDEX(Stocuri!$G$5:$G$204,MATCH(D272,Coduri,0)),0),2))</f>
        <v/>
      </c>
      <c r="N272" s="19" t="str">
        <f t="shared" si="25"/>
        <v/>
      </c>
    </row>
    <row r="273" spans="2:14" x14ac:dyDescent="0.2">
      <c r="B273" s="15"/>
      <c r="C273" s="6"/>
      <c r="D273" s="12"/>
      <c r="E273" s="10" t="str">
        <f t="shared" si="21"/>
        <v/>
      </c>
      <c r="F273" s="16"/>
      <c r="G273" s="13"/>
      <c r="H273" s="6"/>
      <c r="I273" s="6"/>
      <c r="J273" s="11" t="str">
        <f t="shared" si="22"/>
        <v/>
      </c>
      <c r="K273" s="17" t="str">
        <f t="shared" si="23"/>
        <v/>
      </c>
      <c r="L273" s="18" t="str">
        <f t="shared" si="24"/>
        <v/>
      </c>
      <c r="M273" s="18" t="str">
        <f>IF(J273&lt;&gt;-1,"",ROUND(F273*IFERROR(INDEX(Stocuri!$G$5:$G$204,MATCH(D273,Coduri,0)),0),2))</f>
        <v/>
      </c>
      <c r="N273" s="19" t="str">
        <f t="shared" si="25"/>
        <v/>
      </c>
    </row>
    <row r="274" spans="2:14" x14ac:dyDescent="0.2">
      <c r="B274" s="15"/>
      <c r="C274" s="6"/>
      <c r="D274" s="12"/>
      <c r="E274" s="10" t="str">
        <f t="shared" si="21"/>
        <v/>
      </c>
      <c r="F274" s="16"/>
      <c r="G274" s="13"/>
      <c r="H274" s="6"/>
      <c r="I274" s="6"/>
      <c r="J274" s="11" t="str">
        <f t="shared" si="22"/>
        <v/>
      </c>
      <c r="K274" s="17" t="str">
        <f t="shared" si="23"/>
        <v/>
      </c>
      <c r="L274" s="18" t="str">
        <f t="shared" si="24"/>
        <v/>
      </c>
      <c r="M274" s="18" t="str">
        <f>IF(J274&lt;&gt;-1,"",ROUND(F274*IFERROR(INDEX(Stocuri!$G$5:$G$204,MATCH(D274,Coduri,0)),0),2))</f>
        <v/>
      </c>
      <c r="N274" s="19" t="str">
        <f t="shared" si="25"/>
        <v/>
      </c>
    </row>
    <row r="275" spans="2:14" x14ac:dyDescent="0.2">
      <c r="B275" s="15"/>
      <c r="C275" s="6"/>
      <c r="D275" s="12"/>
      <c r="E275" s="10" t="str">
        <f t="shared" si="21"/>
        <v/>
      </c>
      <c r="F275" s="16"/>
      <c r="G275" s="13"/>
      <c r="H275" s="6"/>
      <c r="I275" s="6"/>
      <c r="J275" s="11" t="str">
        <f t="shared" si="22"/>
        <v/>
      </c>
      <c r="K275" s="17" t="str">
        <f t="shared" si="23"/>
        <v/>
      </c>
      <c r="L275" s="18" t="str">
        <f t="shared" si="24"/>
        <v/>
      </c>
      <c r="M275" s="18" t="str">
        <f>IF(J275&lt;&gt;-1,"",ROUND(F275*IFERROR(INDEX(Stocuri!$G$5:$G$204,MATCH(D275,Coduri,0)),0),2))</f>
        <v/>
      </c>
      <c r="N275" s="19" t="str">
        <f t="shared" si="25"/>
        <v/>
      </c>
    </row>
    <row r="276" spans="2:14" x14ac:dyDescent="0.2">
      <c r="B276" s="15"/>
      <c r="C276" s="6"/>
      <c r="D276" s="12"/>
      <c r="E276" s="10" t="str">
        <f t="shared" si="21"/>
        <v/>
      </c>
      <c r="F276" s="16"/>
      <c r="G276" s="13"/>
      <c r="H276" s="6"/>
      <c r="I276" s="6"/>
      <c r="J276" s="11" t="str">
        <f t="shared" si="22"/>
        <v/>
      </c>
      <c r="K276" s="17" t="str">
        <f t="shared" si="23"/>
        <v/>
      </c>
      <c r="L276" s="18" t="str">
        <f t="shared" si="24"/>
        <v/>
      </c>
      <c r="M276" s="18" t="str">
        <f>IF(J276&lt;&gt;-1,"",ROUND(F276*IFERROR(INDEX(Stocuri!$G$5:$G$204,MATCH(D276,Coduri,0)),0),2))</f>
        <v/>
      </c>
      <c r="N276" s="19" t="str">
        <f t="shared" si="25"/>
        <v/>
      </c>
    </row>
    <row r="277" spans="2:14" x14ac:dyDescent="0.2">
      <c r="B277" s="15"/>
      <c r="C277" s="6"/>
      <c r="D277" s="12"/>
      <c r="E277" s="10" t="str">
        <f t="shared" si="21"/>
        <v/>
      </c>
      <c r="F277" s="16"/>
      <c r="G277" s="13"/>
      <c r="H277" s="6"/>
      <c r="I277" s="6"/>
      <c r="J277" s="11" t="str">
        <f t="shared" si="22"/>
        <v/>
      </c>
      <c r="K277" s="17" t="str">
        <f t="shared" si="23"/>
        <v/>
      </c>
      <c r="L277" s="18" t="str">
        <f t="shared" si="24"/>
        <v/>
      </c>
      <c r="M277" s="18" t="str">
        <f>IF(J277&lt;&gt;-1,"",ROUND(F277*IFERROR(INDEX(Stocuri!$G$5:$G$204,MATCH(D277,Coduri,0)),0),2))</f>
        <v/>
      </c>
      <c r="N277" s="19" t="str">
        <f t="shared" si="25"/>
        <v/>
      </c>
    </row>
    <row r="278" spans="2:14" x14ac:dyDescent="0.2">
      <c r="B278" s="15"/>
      <c r="C278" s="6"/>
      <c r="D278" s="12"/>
      <c r="E278" s="10" t="str">
        <f t="shared" si="21"/>
        <v/>
      </c>
      <c r="F278" s="16"/>
      <c r="G278" s="13"/>
      <c r="H278" s="6"/>
      <c r="I278" s="6"/>
      <c r="J278" s="11" t="str">
        <f t="shared" si="22"/>
        <v/>
      </c>
      <c r="K278" s="17" t="str">
        <f t="shared" si="23"/>
        <v/>
      </c>
      <c r="L278" s="18" t="str">
        <f t="shared" si="24"/>
        <v/>
      </c>
      <c r="M278" s="18" t="str">
        <f>IF(J278&lt;&gt;-1,"",ROUND(F278*IFERROR(INDEX(Stocuri!$G$5:$G$204,MATCH(D278,Coduri,0)),0),2))</f>
        <v/>
      </c>
      <c r="N278" s="19" t="str">
        <f t="shared" si="25"/>
        <v/>
      </c>
    </row>
    <row r="279" spans="2:14" x14ac:dyDescent="0.2">
      <c r="B279" s="15"/>
      <c r="C279" s="6"/>
      <c r="D279" s="12"/>
      <c r="E279" s="10" t="str">
        <f t="shared" si="21"/>
        <v/>
      </c>
      <c r="F279" s="16"/>
      <c r="G279" s="13"/>
      <c r="H279" s="6"/>
      <c r="I279" s="6"/>
      <c r="J279" s="11" t="str">
        <f t="shared" si="22"/>
        <v/>
      </c>
      <c r="K279" s="17" t="str">
        <f t="shared" si="23"/>
        <v/>
      </c>
      <c r="L279" s="18" t="str">
        <f t="shared" si="24"/>
        <v/>
      </c>
      <c r="M279" s="18" t="str">
        <f>IF(J279&lt;&gt;-1,"",ROUND(F279*IFERROR(INDEX(Stocuri!$G$5:$G$204,MATCH(D279,Coduri,0)),0),2))</f>
        <v/>
      </c>
      <c r="N279" s="19" t="str">
        <f t="shared" si="25"/>
        <v/>
      </c>
    </row>
    <row r="280" spans="2:14" x14ac:dyDescent="0.2">
      <c r="B280" s="15"/>
      <c r="C280" s="6"/>
      <c r="D280" s="12"/>
      <c r="E280" s="10" t="str">
        <f t="shared" si="21"/>
        <v/>
      </c>
      <c r="F280" s="16"/>
      <c r="G280" s="13"/>
      <c r="H280" s="6"/>
      <c r="I280" s="6"/>
      <c r="J280" s="11" t="str">
        <f t="shared" si="22"/>
        <v/>
      </c>
      <c r="K280" s="17" t="str">
        <f t="shared" si="23"/>
        <v/>
      </c>
      <c r="L280" s="18" t="str">
        <f t="shared" si="24"/>
        <v/>
      </c>
      <c r="M280" s="18" t="str">
        <f>IF(J280&lt;&gt;-1,"",ROUND(F280*IFERROR(INDEX(Stocuri!$G$5:$G$204,MATCH(D280,Coduri,0)),0),2))</f>
        <v/>
      </c>
      <c r="N280" s="19" t="str">
        <f t="shared" si="25"/>
        <v/>
      </c>
    </row>
    <row r="281" spans="2:14" x14ac:dyDescent="0.2">
      <c r="B281" s="15"/>
      <c r="C281" s="6"/>
      <c r="D281" s="12"/>
      <c r="E281" s="10" t="str">
        <f t="shared" si="21"/>
        <v/>
      </c>
      <c r="F281" s="16"/>
      <c r="G281" s="13"/>
      <c r="H281" s="6"/>
      <c r="I281" s="6"/>
      <c r="J281" s="11" t="str">
        <f t="shared" si="22"/>
        <v/>
      </c>
      <c r="K281" s="17" t="str">
        <f t="shared" si="23"/>
        <v/>
      </c>
      <c r="L281" s="18" t="str">
        <f t="shared" si="24"/>
        <v/>
      </c>
      <c r="M281" s="18" t="str">
        <f>IF(J281&lt;&gt;-1,"",ROUND(F281*IFERROR(INDEX(Stocuri!$G$5:$G$204,MATCH(D281,Coduri,0)),0),2))</f>
        <v/>
      </c>
      <c r="N281" s="19" t="str">
        <f t="shared" si="25"/>
        <v/>
      </c>
    </row>
    <row r="282" spans="2:14" x14ac:dyDescent="0.2">
      <c r="B282" s="15"/>
      <c r="C282" s="6"/>
      <c r="D282" s="12"/>
      <c r="E282" s="10" t="str">
        <f t="shared" si="21"/>
        <v/>
      </c>
      <c r="F282" s="16"/>
      <c r="G282" s="13"/>
      <c r="H282" s="6"/>
      <c r="I282" s="6"/>
      <c r="J282" s="11" t="str">
        <f t="shared" si="22"/>
        <v/>
      </c>
      <c r="K282" s="17" t="str">
        <f t="shared" si="23"/>
        <v/>
      </c>
      <c r="L282" s="18" t="str">
        <f t="shared" si="24"/>
        <v/>
      </c>
      <c r="M282" s="18" t="str">
        <f>IF(J282&lt;&gt;-1,"",ROUND(F282*IFERROR(INDEX(Stocuri!$G$5:$G$204,MATCH(D282,Coduri,0)),0),2))</f>
        <v/>
      </c>
      <c r="N282" s="19" t="str">
        <f t="shared" si="25"/>
        <v/>
      </c>
    </row>
    <row r="283" spans="2:14" x14ac:dyDescent="0.2">
      <c r="B283" s="15"/>
      <c r="C283" s="6"/>
      <c r="D283" s="12"/>
      <c r="E283" s="10" t="str">
        <f t="shared" si="21"/>
        <v/>
      </c>
      <c r="F283" s="16"/>
      <c r="G283" s="13"/>
      <c r="H283" s="6"/>
      <c r="I283" s="6"/>
      <c r="J283" s="11" t="str">
        <f t="shared" si="22"/>
        <v/>
      </c>
      <c r="K283" s="17" t="str">
        <f t="shared" si="23"/>
        <v/>
      </c>
      <c r="L283" s="18" t="str">
        <f t="shared" si="24"/>
        <v/>
      </c>
      <c r="M283" s="18" t="str">
        <f>IF(J283&lt;&gt;-1,"",ROUND(F283*IFERROR(INDEX(Stocuri!$G$5:$G$204,MATCH(D283,Coduri,0)),0),2))</f>
        <v/>
      </c>
      <c r="N283" s="19" t="str">
        <f t="shared" si="25"/>
        <v/>
      </c>
    </row>
    <row r="284" spans="2:14" x14ac:dyDescent="0.2">
      <c r="B284" s="15"/>
      <c r="C284" s="6"/>
      <c r="D284" s="12"/>
      <c r="E284" s="10" t="str">
        <f t="shared" si="21"/>
        <v/>
      </c>
      <c r="F284" s="16"/>
      <c r="G284" s="13"/>
      <c r="H284" s="6"/>
      <c r="I284" s="6"/>
      <c r="J284" s="11" t="str">
        <f t="shared" si="22"/>
        <v/>
      </c>
      <c r="K284" s="17" t="str">
        <f t="shared" si="23"/>
        <v/>
      </c>
      <c r="L284" s="18" t="str">
        <f t="shared" si="24"/>
        <v/>
      </c>
      <c r="M284" s="18" t="str">
        <f>IF(J284&lt;&gt;-1,"",ROUND(F284*IFERROR(INDEX(Stocuri!$G$5:$G$204,MATCH(D284,Coduri,0)),0),2))</f>
        <v/>
      </c>
      <c r="N284" s="19" t="str">
        <f t="shared" si="25"/>
        <v/>
      </c>
    </row>
    <row r="285" spans="2:14" x14ac:dyDescent="0.2">
      <c r="B285" s="15"/>
      <c r="C285" s="6"/>
      <c r="D285" s="12"/>
      <c r="E285" s="10" t="str">
        <f t="shared" si="21"/>
        <v/>
      </c>
      <c r="F285" s="16"/>
      <c r="G285" s="13"/>
      <c r="H285" s="6"/>
      <c r="I285" s="6"/>
      <c r="J285" s="11" t="str">
        <f t="shared" si="22"/>
        <v/>
      </c>
      <c r="K285" s="17" t="str">
        <f t="shared" si="23"/>
        <v/>
      </c>
      <c r="L285" s="18" t="str">
        <f t="shared" si="24"/>
        <v/>
      </c>
      <c r="M285" s="18" t="str">
        <f>IF(J285&lt;&gt;-1,"",ROUND(F285*IFERROR(INDEX(Stocuri!$G$5:$G$204,MATCH(D285,Coduri,0)),0),2))</f>
        <v/>
      </c>
      <c r="N285" s="19" t="str">
        <f t="shared" si="25"/>
        <v/>
      </c>
    </row>
    <row r="286" spans="2:14" x14ac:dyDescent="0.2">
      <c r="B286" s="15"/>
      <c r="C286" s="6"/>
      <c r="D286" s="12"/>
      <c r="E286" s="10" t="str">
        <f t="shared" si="21"/>
        <v/>
      </c>
      <c r="F286" s="16"/>
      <c r="G286" s="13"/>
      <c r="H286" s="6"/>
      <c r="I286" s="6"/>
      <c r="J286" s="11" t="str">
        <f t="shared" si="22"/>
        <v/>
      </c>
      <c r="K286" s="17" t="str">
        <f t="shared" si="23"/>
        <v/>
      </c>
      <c r="L286" s="18" t="str">
        <f t="shared" si="24"/>
        <v/>
      </c>
      <c r="M286" s="18" t="str">
        <f>IF(J286&lt;&gt;-1,"",ROUND(F286*IFERROR(INDEX(Stocuri!$G$5:$G$204,MATCH(D286,Coduri,0)),0),2))</f>
        <v/>
      </c>
      <c r="N286" s="19" t="str">
        <f t="shared" si="25"/>
        <v/>
      </c>
    </row>
    <row r="287" spans="2:14" x14ac:dyDescent="0.2">
      <c r="B287" s="15"/>
      <c r="C287" s="6"/>
      <c r="D287" s="12"/>
      <c r="E287" s="10" t="str">
        <f t="shared" si="21"/>
        <v/>
      </c>
      <c r="F287" s="16"/>
      <c r="G287" s="13"/>
      <c r="H287" s="6"/>
      <c r="I287" s="6"/>
      <c r="J287" s="11" t="str">
        <f t="shared" si="22"/>
        <v/>
      </c>
      <c r="K287" s="17" t="str">
        <f t="shared" si="23"/>
        <v/>
      </c>
      <c r="L287" s="18" t="str">
        <f t="shared" si="24"/>
        <v/>
      </c>
      <c r="M287" s="18" t="str">
        <f>IF(J287&lt;&gt;-1,"",ROUND(F287*IFERROR(INDEX(Stocuri!$G$5:$G$204,MATCH(D287,Coduri,0)),0),2))</f>
        <v/>
      </c>
      <c r="N287" s="19" t="str">
        <f t="shared" si="25"/>
        <v/>
      </c>
    </row>
    <row r="288" spans="2:14" x14ac:dyDescent="0.2">
      <c r="B288" s="15"/>
      <c r="C288" s="6"/>
      <c r="D288" s="12"/>
      <c r="E288" s="10" t="str">
        <f t="shared" si="21"/>
        <v/>
      </c>
      <c r="F288" s="16"/>
      <c r="G288" s="13"/>
      <c r="H288" s="6"/>
      <c r="I288" s="6"/>
      <c r="J288" s="11" t="str">
        <f t="shared" si="22"/>
        <v/>
      </c>
      <c r="K288" s="17" t="str">
        <f t="shared" si="23"/>
        <v/>
      </c>
      <c r="L288" s="18" t="str">
        <f t="shared" si="24"/>
        <v/>
      </c>
      <c r="M288" s="18" t="str">
        <f>IF(J288&lt;&gt;-1,"",ROUND(F288*IFERROR(INDEX(Stocuri!$G$5:$G$204,MATCH(D288,Coduri,0)),0),2))</f>
        <v/>
      </c>
      <c r="N288" s="19" t="str">
        <f t="shared" si="25"/>
        <v/>
      </c>
    </row>
    <row r="289" spans="2:14" x14ac:dyDescent="0.2">
      <c r="B289" s="15"/>
      <c r="C289" s="6"/>
      <c r="D289" s="12"/>
      <c r="E289" s="10" t="str">
        <f t="shared" si="21"/>
        <v/>
      </c>
      <c r="F289" s="16"/>
      <c r="G289" s="13"/>
      <c r="H289" s="6"/>
      <c r="I289" s="6"/>
      <c r="J289" s="11" t="str">
        <f t="shared" si="22"/>
        <v/>
      </c>
      <c r="K289" s="17" t="str">
        <f t="shared" si="23"/>
        <v/>
      </c>
      <c r="L289" s="18" t="str">
        <f t="shared" si="24"/>
        <v/>
      </c>
      <c r="M289" s="18" t="str">
        <f>IF(J289&lt;&gt;-1,"",ROUND(F289*IFERROR(INDEX(Stocuri!$G$5:$G$204,MATCH(D289,Coduri,0)),0),2))</f>
        <v/>
      </c>
      <c r="N289" s="19" t="str">
        <f t="shared" si="25"/>
        <v/>
      </c>
    </row>
    <row r="290" spans="2:14" x14ac:dyDescent="0.2">
      <c r="B290" s="15"/>
      <c r="C290" s="6"/>
      <c r="D290" s="12"/>
      <c r="E290" s="10" t="str">
        <f t="shared" si="21"/>
        <v/>
      </c>
      <c r="F290" s="16"/>
      <c r="G290" s="13"/>
      <c r="H290" s="6"/>
      <c r="I290" s="6"/>
      <c r="J290" s="11" t="str">
        <f t="shared" si="22"/>
        <v/>
      </c>
      <c r="K290" s="17" t="str">
        <f t="shared" si="23"/>
        <v/>
      </c>
      <c r="L290" s="18" t="str">
        <f t="shared" si="24"/>
        <v/>
      </c>
      <c r="M290" s="18" t="str">
        <f>IF(J290&lt;&gt;-1,"",ROUND(F290*IFERROR(INDEX(Stocuri!$G$5:$G$204,MATCH(D290,Coduri,0)),0),2))</f>
        <v/>
      </c>
      <c r="N290" s="19" t="str">
        <f t="shared" si="25"/>
        <v/>
      </c>
    </row>
    <row r="291" spans="2:14" x14ac:dyDescent="0.2">
      <c r="B291" s="15"/>
      <c r="C291" s="6"/>
      <c r="D291" s="12"/>
      <c r="E291" s="10" t="str">
        <f t="shared" si="21"/>
        <v/>
      </c>
      <c r="F291" s="16"/>
      <c r="G291" s="13"/>
      <c r="H291" s="6"/>
      <c r="I291" s="6"/>
      <c r="J291" s="11" t="str">
        <f t="shared" si="22"/>
        <v/>
      </c>
      <c r="K291" s="17" t="str">
        <f t="shared" si="23"/>
        <v/>
      </c>
      <c r="L291" s="18" t="str">
        <f t="shared" si="24"/>
        <v/>
      </c>
      <c r="M291" s="18" t="str">
        <f>IF(J291&lt;&gt;-1,"",ROUND(F291*IFERROR(INDEX(Stocuri!$G$5:$G$204,MATCH(D291,Coduri,0)),0),2))</f>
        <v/>
      </c>
      <c r="N291" s="19" t="str">
        <f t="shared" si="25"/>
        <v/>
      </c>
    </row>
    <row r="292" spans="2:14" x14ac:dyDescent="0.2">
      <c r="B292" s="15"/>
      <c r="C292" s="6"/>
      <c r="D292" s="12"/>
      <c r="E292" s="10" t="str">
        <f t="shared" si="21"/>
        <v/>
      </c>
      <c r="F292" s="16"/>
      <c r="G292" s="13"/>
      <c r="H292" s="6"/>
      <c r="I292" s="6"/>
      <c r="J292" s="11" t="str">
        <f t="shared" si="22"/>
        <v/>
      </c>
      <c r="K292" s="17" t="str">
        <f t="shared" si="23"/>
        <v/>
      </c>
      <c r="L292" s="18" t="str">
        <f t="shared" si="24"/>
        <v/>
      </c>
      <c r="M292" s="18" t="str">
        <f>IF(J292&lt;&gt;-1,"",ROUND(F292*IFERROR(INDEX(Stocuri!$G$5:$G$204,MATCH(D292,Coduri,0)),0),2))</f>
        <v/>
      </c>
      <c r="N292" s="19" t="str">
        <f t="shared" si="25"/>
        <v/>
      </c>
    </row>
    <row r="293" spans="2:14" x14ac:dyDescent="0.2">
      <c r="B293" s="15"/>
      <c r="C293" s="6"/>
      <c r="D293" s="12"/>
      <c r="E293" s="10" t="str">
        <f t="shared" si="21"/>
        <v/>
      </c>
      <c r="F293" s="16"/>
      <c r="G293" s="13"/>
      <c r="H293" s="6"/>
      <c r="I293" s="6"/>
      <c r="J293" s="11" t="str">
        <f t="shared" si="22"/>
        <v/>
      </c>
      <c r="K293" s="17" t="str">
        <f t="shared" si="23"/>
        <v/>
      </c>
      <c r="L293" s="18" t="str">
        <f t="shared" si="24"/>
        <v/>
      </c>
      <c r="M293" s="18" t="str">
        <f>IF(J293&lt;&gt;-1,"",ROUND(F293*IFERROR(INDEX(Stocuri!$G$5:$G$204,MATCH(D293,Coduri,0)),0),2))</f>
        <v/>
      </c>
      <c r="N293" s="19" t="str">
        <f t="shared" si="25"/>
        <v/>
      </c>
    </row>
    <row r="294" spans="2:14" x14ac:dyDescent="0.2">
      <c r="B294" s="15"/>
      <c r="C294" s="6"/>
      <c r="D294" s="12"/>
      <c r="E294" s="10" t="str">
        <f t="shared" si="21"/>
        <v/>
      </c>
      <c r="F294" s="16"/>
      <c r="G294" s="13"/>
      <c r="H294" s="6"/>
      <c r="I294" s="6"/>
      <c r="J294" s="11" t="str">
        <f t="shared" si="22"/>
        <v/>
      </c>
      <c r="K294" s="17" t="str">
        <f t="shared" si="23"/>
        <v/>
      </c>
      <c r="L294" s="18" t="str">
        <f t="shared" si="24"/>
        <v/>
      </c>
      <c r="M294" s="18" t="str">
        <f>IF(J294&lt;&gt;-1,"",ROUND(F294*IFERROR(INDEX(Stocuri!$G$5:$G$204,MATCH(D294,Coduri,0)),0),2))</f>
        <v/>
      </c>
      <c r="N294" s="19" t="str">
        <f t="shared" si="25"/>
        <v/>
      </c>
    </row>
    <row r="295" spans="2:14" x14ac:dyDescent="0.2">
      <c r="B295" s="15"/>
      <c r="C295" s="6"/>
      <c r="D295" s="12"/>
      <c r="E295" s="10" t="str">
        <f t="shared" si="21"/>
        <v/>
      </c>
      <c r="F295" s="16"/>
      <c r="G295" s="13"/>
      <c r="H295" s="6"/>
      <c r="I295" s="6"/>
      <c r="J295" s="11" t="str">
        <f t="shared" si="22"/>
        <v/>
      </c>
      <c r="K295" s="17" t="str">
        <f t="shared" si="23"/>
        <v/>
      </c>
      <c r="L295" s="18" t="str">
        <f t="shared" si="24"/>
        <v/>
      </c>
      <c r="M295" s="18" t="str">
        <f>IF(J295&lt;&gt;-1,"",ROUND(F295*IFERROR(INDEX(Stocuri!$G$5:$G$204,MATCH(D295,Coduri,0)),0),2))</f>
        <v/>
      </c>
      <c r="N295" s="19" t="str">
        <f t="shared" si="25"/>
        <v/>
      </c>
    </row>
    <row r="296" spans="2:14" x14ac:dyDescent="0.2">
      <c r="B296" s="15"/>
      <c r="C296" s="6"/>
      <c r="D296" s="12"/>
      <c r="E296" s="10" t="str">
        <f t="shared" si="21"/>
        <v/>
      </c>
      <c r="F296" s="16"/>
      <c r="G296" s="13"/>
      <c r="H296" s="6"/>
      <c r="I296" s="6"/>
      <c r="J296" s="11" t="str">
        <f t="shared" si="22"/>
        <v/>
      </c>
      <c r="K296" s="17" t="str">
        <f t="shared" si="23"/>
        <v/>
      </c>
      <c r="L296" s="18" t="str">
        <f t="shared" si="24"/>
        <v/>
      </c>
      <c r="M296" s="18" t="str">
        <f>IF(J296&lt;&gt;-1,"",ROUND(F296*IFERROR(INDEX(Stocuri!$G$5:$G$204,MATCH(D296,Coduri,0)),0),2))</f>
        <v/>
      </c>
      <c r="N296" s="19" t="str">
        <f t="shared" si="25"/>
        <v/>
      </c>
    </row>
    <row r="297" spans="2:14" x14ac:dyDescent="0.2">
      <c r="B297" s="15"/>
      <c r="C297" s="6"/>
      <c r="D297" s="12"/>
      <c r="E297" s="10" t="str">
        <f t="shared" si="21"/>
        <v/>
      </c>
      <c r="F297" s="16"/>
      <c r="G297" s="13"/>
      <c r="H297" s="6"/>
      <c r="I297" s="6"/>
      <c r="J297" s="11" t="str">
        <f t="shared" si="22"/>
        <v/>
      </c>
      <c r="K297" s="17" t="str">
        <f t="shared" si="23"/>
        <v/>
      </c>
      <c r="L297" s="18" t="str">
        <f t="shared" si="24"/>
        <v/>
      </c>
      <c r="M297" s="18" t="str">
        <f>IF(J297&lt;&gt;-1,"",ROUND(F297*IFERROR(INDEX(Stocuri!$G$5:$G$204,MATCH(D297,Coduri,0)),0),2))</f>
        <v/>
      </c>
      <c r="N297" s="19" t="str">
        <f t="shared" si="25"/>
        <v/>
      </c>
    </row>
    <row r="298" spans="2:14" x14ac:dyDescent="0.2">
      <c r="B298" s="15"/>
      <c r="C298" s="6"/>
      <c r="D298" s="12"/>
      <c r="E298" s="10" t="str">
        <f t="shared" si="21"/>
        <v/>
      </c>
      <c r="F298" s="16"/>
      <c r="G298" s="13"/>
      <c r="H298" s="6"/>
      <c r="I298" s="6"/>
      <c r="J298" s="11" t="str">
        <f t="shared" si="22"/>
        <v/>
      </c>
      <c r="K298" s="17" t="str">
        <f t="shared" si="23"/>
        <v/>
      </c>
      <c r="L298" s="18" t="str">
        <f t="shared" si="24"/>
        <v/>
      </c>
      <c r="M298" s="18" t="str">
        <f>IF(J298&lt;&gt;-1,"",ROUND(F298*IFERROR(INDEX(Stocuri!$G$5:$G$204,MATCH(D298,Coduri,0)),0),2))</f>
        <v/>
      </c>
      <c r="N298" s="19" t="str">
        <f t="shared" si="25"/>
        <v/>
      </c>
    </row>
    <row r="299" spans="2:14" x14ac:dyDescent="0.2">
      <c r="B299" s="15"/>
      <c r="C299" s="6"/>
      <c r="D299" s="12"/>
      <c r="E299" s="10" t="str">
        <f t="shared" si="21"/>
        <v/>
      </c>
      <c r="F299" s="16"/>
      <c r="G299" s="13"/>
      <c r="H299" s="6"/>
      <c r="I299" s="6"/>
      <c r="J299" s="11" t="str">
        <f t="shared" si="22"/>
        <v/>
      </c>
      <c r="K299" s="17" t="str">
        <f t="shared" si="23"/>
        <v/>
      </c>
      <c r="L299" s="18" t="str">
        <f t="shared" si="24"/>
        <v/>
      </c>
      <c r="M299" s="18" t="str">
        <f>IF(J299&lt;&gt;-1,"",ROUND(F299*IFERROR(INDEX(Stocuri!$G$5:$G$204,MATCH(D299,Coduri,0)),0),2))</f>
        <v/>
      </c>
      <c r="N299" s="19" t="str">
        <f t="shared" si="25"/>
        <v/>
      </c>
    </row>
    <row r="300" spans="2:14" x14ac:dyDescent="0.2">
      <c r="B300" s="15"/>
      <c r="C300" s="6"/>
      <c r="D300" s="12"/>
      <c r="E300" s="10" t="str">
        <f t="shared" si="21"/>
        <v/>
      </c>
      <c r="F300" s="16"/>
      <c r="G300" s="13"/>
      <c r="H300" s="6"/>
      <c r="I300" s="6"/>
      <c r="J300" s="11" t="str">
        <f t="shared" si="22"/>
        <v/>
      </c>
      <c r="K300" s="17" t="str">
        <f t="shared" si="23"/>
        <v/>
      </c>
      <c r="L300" s="18" t="str">
        <f t="shared" si="24"/>
        <v/>
      </c>
      <c r="M300" s="18" t="str">
        <f>IF(J300&lt;&gt;-1,"",ROUND(F300*IFERROR(INDEX(Stocuri!$G$5:$G$204,MATCH(D300,Coduri,0)),0),2))</f>
        <v/>
      </c>
      <c r="N300" s="19" t="str">
        <f t="shared" si="25"/>
        <v/>
      </c>
    </row>
    <row r="301" spans="2:14" x14ac:dyDescent="0.2">
      <c r="B301" s="15"/>
      <c r="C301" s="6"/>
      <c r="D301" s="12"/>
      <c r="E301" s="10" t="str">
        <f t="shared" si="21"/>
        <v/>
      </c>
      <c r="F301" s="16"/>
      <c r="G301" s="13"/>
      <c r="H301" s="6"/>
      <c r="I301" s="6"/>
      <c r="J301" s="11" t="str">
        <f t="shared" si="22"/>
        <v/>
      </c>
      <c r="K301" s="17" t="str">
        <f t="shared" si="23"/>
        <v/>
      </c>
      <c r="L301" s="18" t="str">
        <f t="shared" si="24"/>
        <v/>
      </c>
      <c r="M301" s="18" t="str">
        <f>IF(J301&lt;&gt;-1,"",ROUND(F301*IFERROR(INDEX(Stocuri!$G$5:$G$204,MATCH(D301,Coduri,0)),0),2))</f>
        <v/>
      </c>
      <c r="N301" s="19" t="str">
        <f t="shared" si="25"/>
        <v/>
      </c>
    </row>
    <row r="302" spans="2:14" x14ac:dyDescent="0.2">
      <c r="B302" s="15"/>
      <c r="C302" s="6"/>
      <c r="D302" s="12"/>
      <c r="E302" s="10" t="str">
        <f t="shared" si="21"/>
        <v/>
      </c>
      <c r="F302" s="16"/>
      <c r="G302" s="13"/>
      <c r="H302" s="6"/>
      <c r="I302" s="6"/>
      <c r="J302" s="11" t="str">
        <f t="shared" si="22"/>
        <v/>
      </c>
      <c r="K302" s="17" t="str">
        <f t="shared" si="23"/>
        <v/>
      </c>
      <c r="L302" s="18" t="str">
        <f t="shared" si="24"/>
        <v/>
      </c>
      <c r="M302" s="18" t="str">
        <f>IF(J302&lt;&gt;-1,"",ROUND(F302*IFERROR(INDEX(Stocuri!$G$5:$G$204,MATCH(D302,Coduri,0)),0),2))</f>
        <v/>
      </c>
      <c r="N302" s="19" t="str">
        <f t="shared" si="25"/>
        <v/>
      </c>
    </row>
    <row r="303" spans="2:14" x14ac:dyDescent="0.2">
      <c r="B303" s="15"/>
      <c r="C303" s="6"/>
      <c r="D303" s="12"/>
      <c r="E303" s="10" t="str">
        <f t="shared" si="21"/>
        <v/>
      </c>
      <c r="F303" s="16"/>
      <c r="G303" s="13"/>
      <c r="H303" s="6"/>
      <c r="I303" s="6"/>
      <c r="J303" s="11" t="str">
        <f t="shared" si="22"/>
        <v/>
      </c>
      <c r="K303" s="17" t="str">
        <f t="shared" si="23"/>
        <v/>
      </c>
      <c r="L303" s="18" t="str">
        <f t="shared" si="24"/>
        <v/>
      </c>
      <c r="M303" s="18" t="str">
        <f>IF(J303&lt;&gt;-1,"",ROUND(F303*IFERROR(INDEX(Stocuri!$G$5:$G$204,MATCH(D303,Coduri,0)),0),2))</f>
        <v/>
      </c>
      <c r="N303" s="19" t="str">
        <f t="shared" si="25"/>
        <v/>
      </c>
    </row>
    <row r="304" spans="2:14" x14ac:dyDescent="0.2">
      <c r="B304" s="15"/>
      <c r="C304" s="6"/>
      <c r="D304" s="12"/>
      <c r="E304" s="10" t="str">
        <f t="shared" si="21"/>
        <v/>
      </c>
      <c r="F304" s="16"/>
      <c r="G304" s="13"/>
      <c r="H304" s="6"/>
      <c r="I304" s="6"/>
      <c r="J304" s="11" t="str">
        <f t="shared" si="22"/>
        <v/>
      </c>
      <c r="K304" s="17" t="str">
        <f t="shared" si="23"/>
        <v/>
      </c>
      <c r="L304" s="18" t="str">
        <f t="shared" si="24"/>
        <v/>
      </c>
      <c r="M304" s="18" t="str">
        <f>IF(J304&lt;&gt;-1,"",ROUND(F304*IFERROR(INDEX(Stocuri!$G$5:$G$204,MATCH(D304,Coduri,0)),0),2))</f>
        <v/>
      </c>
      <c r="N304" s="19" t="str">
        <f t="shared" si="25"/>
        <v/>
      </c>
    </row>
    <row r="305" spans="2:14" x14ac:dyDescent="0.2">
      <c r="B305" s="15"/>
      <c r="C305" s="6"/>
      <c r="D305" s="12"/>
      <c r="E305" s="10" t="str">
        <f t="shared" si="21"/>
        <v/>
      </c>
      <c r="F305" s="16"/>
      <c r="G305" s="13"/>
      <c r="H305" s="6"/>
      <c r="I305" s="6"/>
      <c r="J305" s="11" t="str">
        <f t="shared" si="22"/>
        <v/>
      </c>
      <c r="K305" s="17" t="str">
        <f t="shared" si="23"/>
        <v/>
      </c>
      <c r="L305" s="18" t="str">
        <f t="shared" si="24"/>
        <v/>
      </c>
      <c r="M305" s="18" t="str">
        <f>IF(J305&lt;&gt;-1,"",ROUND(F305*IFERROR(INDEX(Stocuri!$G$5:$G$204,MATCH(D305,Coduri,0)),0),2))</f>
        <v/>
      </c>
      <c r="N305" s="19" t="str">
        <f t="shared" si="25"/>
        <v/>
      </c>
    </row>
    <row r="306" spans="2:14" x14ac:dyDescent="0.2">
      <c r="B306" s="15"/>
      <c r="C306" s="6"/>
      <c r="D306" s="12"/>
      <c r="E306" s="10" t="str">
        <f t="shared" si="21"/>
        <v/>
      </c>
      <c r="F306" s="16"/>
      <c r="G306" s="13"/>
      <c r="H306" s="6"/>
      <c r="I306" s="6"/>
      <c r="J306" s="11" t="str">
        <f t="shared" si="22"/>
        <v/>
      </c>
      <c r="K306" s="17" t="str">
        <f t="shared" si="23"/>
        <v/>
      </c>
      <c r="L306" s="18" t="str">
        <f t="shared" si="24"/>
        <v/>
      </c>
      <c r="M306" s="18" t="str">
        <f>IF(J306&lt;&gt;-1,"",ROUND(F306*IFERROR(INDEX(Stocuri!$G$5:$G$204,MATCH(D306,Coduri,0)),0),2))</f>
        <v/>
      </c>
      <c r="N306" s="19" t="str">
        <f t="shared" si="25"/>
        <v/>
      </c>
    </row>
    <row r="307" spans="2:14" x14ac:dyDescent="0.2">
      <c r="B307" s="15"/>
      <c r="C307" s="6"/>
      <c r="D307" s="12"/>
      <c r="E307" s="10" t="str">
        <f t="shared" si="21"/>
        <v/>
      </c>
      <c r="F307" s="16"/>
      <c r="G307" s="13"/>
      <c r="H307" s="6"/>
      <c r="I307" s="6"/>
      <c r="J307" s="11" t="str">
        <f t="shared" si="22"/>
        <v/>
      </c>
      <c r="K307" s="17" t="str">
        <f t="shared" si="23"/>
        <v/>
      </c>
      <c r="L307" s="18" t="str">
        <f t="shared" si="24"/>
        <v/>
      </c>
      <c r="M307" s="18" t="str">
        <f>IF(J307&lt;&gt;-1,"",ROUND(F307*IFERROR(INDEX(Stocuri!$G$5:$G$204,MATCH(D307,Coduri,0)),0),2))</f>
        <v/>
      </c>
      <c r="N307" s="19" t="str">
        <f t="shared" si="25"/>
        <v/>
      </c>
    </row>
    <row r="308" spans="2:14" x14ac:dyDescent="0.2">
      <c r="B308" s="15"/>
      <c r="C308" s="6"/>
      <c r="D308" s="12"/>
      <c r="E308" s="10" t="str">
        <f t="shared" si="21"/>
        <v/>
      </c>
      <c r="F308" s="16"/>
      <c r="G308" s="13"/>
      <c r="H308" s="6"/>
      <c r="I308" s="6"/>
      <c r="J308" s="11" t="str">
        <f t="shared" si="22"/>
        <v/>
      </c>
      <c r="K308" s="17" t="str">
        <f t="shared" si="23"/>
        <v/>
      </c>
      <c r="L308" s="18" t="str">
        <f t="shared" si="24"/>
        <v/>
      </c>
      <c r="M308" s="18" t="str">
        <f>IF(J308&lt;&gt;-1,"",ROUND(F308*IFERROR(INDEX(Stocuri!$G$5:$G$204,MATCH(D308,Coduri,0)),0),2))</f>
        <v/>
      </c>
      <c r="N308" s="19" t="str">
        <f t="shared" si="25"/>
        <v/>
      </c>
    </row>
    <row r="309" spans="2:14" x14ac:dyDescent="0.2">
      <c r="B309" s="15"/>
      <c r="C309" s="6"/>
      <c r="D309" s="12"/>
      <c r="E309" s="10" t="str">
        <f t="shared" si="21"/>
        <v/>
      </c>
      <c r="F309" s="16"/>
      <c r="G309" s="13"/>
      <c r="H309" s="6"/>
      <c r="I309" s="6"/>
      <c r="J309" s="11" t="str">
        <f t="shared" si="22"/>
        <v/>
      </c>
      <c r="K309" s="17" t="str">
        <f t="shared" si="23"/>
        <v/>
      </c>
      <c r="L309" s="18" t="str">
        <f t="shared" si="24"/>
        <v/>
      </c>
      <c r="M309" s="18" t="str">
        <f>IF(J309&lt;&gt;-1,"",ROUND(F309*IFERROR(INDEX(Stocuri!$G$5:$G$204,MATCH(D309,Coduri,0)),0),2))</f>
        <v/>
      </c>
      <c r="N309" s="19" t="str">
        <f t="shared" si="25"/>
        <v/>
      </c>
    </row>
    <row r="310" spans="2:14" x14ac:dyDescent="0.2">
      <c r="B310" s="15"/>
      <c r="C310" s="6"/>
      <c r="D310" s="12"/>
      <c r="E310" s="10" t="str">
        <f t="shared" si="21"/>
        <v/>
      </c>
      <c r="F310" s="16"/>
      <c r="G310" s="13"/>
      <c r="H310" s="6"/>
      <c r="I310" s="6"/>
      <c r="J310" s="11" t="str">
        <f t="shared" si="22"/>
        <v/>
      </c>
      <c r="K310" s="17" t="str">
        <f t="shared" si="23"/>
        <v/>
      </c>
      <c r="L310" s="18" t="str">
        <f t="shared" si="24"/>
        <v/>
      </c>
      <c r="M310" s="18" t="str">
        <f>IF(J310&lt;&gt;-1,"",ROUND(F310*IFERROR(INDEX(Stocuri!$G$5:$G$204,MATCH(D310,Coduri,0)),0),2))</f>
        <v/>
      </c>
      <c r="N310" s="19" t="str">
        <f t="shared" si="25"/>
        <v/>
      </c>
    </row>
    <row r="311" spans="2:14" x14ac:dyDescent="0.2">
      <c r="B311" s="15"/>
      <c r="C311" s="6"/>
      <c r="D311" s="12"/>
      <c r="E311" s="10" t="str">
        <f t="shared" si="21"/>
        <v/>
      </c>
      <c r="F311" s="16"/>
      <c r="G311" s="13"/>
      <c r="H311" s="6"/>
      <c r="I311" s="6"/>
      <c r="J311" s="11" t="str">
        <f t="shared" si="22"/>
        <v/>
      </c>
      <c r="K311" s="17" t="str">
        <f t="shared" si="23"/>
        <v/>
      </c>
      <c r="L311" s="18" t="str">
        <f t="shared" si="24"/>
        <v/>
      </c>
      <c r="M311" s="18" t="str">
        <f>IF(J311&lt;&gt;-1,"",ROUND(F311*IFERROR(INDEX(Stocuri!$G$5:$G$204,MATCH(D311,Coduri,0)),0),2))</f>
        <v/>
      </c>
      <c r="N311" s="19" t="str">
        <f t="shared" si="25"/>
        <v/>
      </c>
    </row>
    <row r="312" spans="2:14" x14ac:dyDescent="0.2">
      <c r="B312" s="15"/>
      <c r="C312" s="6"/>
      <c r="D312" s="12"/>
      <c r="E312" s="10" t="str">
        <f t="shared" si="21"/>
        <v/>
      </c>
      <c r="F312" s="16"/>
      <c r="G312" s="13"/>
      <c r="H312" s="6"/>
      <c r="I312" s="6"/>
      <c r="J312" s="11" t="str">
        <f t="shared" si="22"/>
        <v/>
      </c>
      <c r="K312" s="17" t="str">
        <f t="shared" si="23"/>
        <v/>
      </c>
      <c r="L312" s="18" t="str">
        <f t="shared" si="24"/>
        <v/>
      </c>
      <c r="M312" s="18" t="str">
        <f>IF(J312&lt;&gt;-1,"",ROUND(F312*IFERROR(INDEX(Stocuri!$G$5:$G$204,MATCH(D312,Coduri,0)),0),2))</f>
        <v/>
      </c>
      <c r="N312" s="19" t="str">
        <f t="shared" si="25"/>
        <v/>
      </c>
    </row>
    <row r="313" spans="2:14" x14ac:dyDescent="0.2">
      <c r="B313" s="15"/>
      <c r="C313" s="6"/>
      <c r="D313" s="12"/>
      <c r="E313" s="10" t="str">
        <f t="shared" si="21"/>
        <v/>
      </c>
      <c r="F313" s="16"/>
      <c r="G313" s="13"/>
      <c r="H313" s="6"/>
      <c r="I313" s="6"/>
      <c r="J313" s="11" t="str">
        <f t="shared" si="22"/>
        <v/>
      </c>
      <c r="K313" s="17" t="str">
        <f t="shared" si="23"/>
        <v/>
      </c>
      <c r="L313" s="18" t="str">
        <f t="shared" si="24"/>
        <v/>
      </c>
      <c r="M313" s="18" t="str">
        <f>IF(J313&lt;&gt;-1,"",ROUND(F313*IFERROR(INDEX(Stocuri!$G$5:$G$204,MATCH(D313,Coduri,0)),0),2))</f>
        <v/>
      </c>
      <c r="N313" s="19" t="str">
        <f t="shared" si="25"/>
        <v/>
      </c>
    </row>
    <row r="314" spans="2:14" x14ac:dyDescent="0.2">
      <c r="B314" s="15"/>
      <c r="C314" s="6"/>
      <c r="D314" s="12"/>
      <c r="E314" s="10" t="str">
        <f t="shared" si="21"/>
        <v/>
      </c>
      <c r="F314" s="16"/>
      <c r="G314" s="13"/>
      <c r="H314" s="6"/>
      <c r="I314" s="6"/>
      <c r="J314" s="11" t="str">
        <f t="shared" si="22"/>
        <v/>
      </c>
      <c r="K314" s="17" t="str">
        <f t="shared" si="23"/>
        <v/>
      </c>
      <c r="L314" s="18" t="str">
        <f t="shared" si="24"/>
        <v/>
      </c>
      <c r="M314" s="18" t="str">
        <f>IF(J314&lt;&gt;-1,"",ROUND(F314*IFERROR(INDEX(Stocuri!$G$5:$G$204,MATCH(D314,Coduri,0)),0),2))</f>
        <v/>
      </c>
      <c r="N314" s="19" t="str">
        <f t="shared" si="25"/>
        <v/>
      </c>
    </row>
    <row r="315" spans="2:14" x14ac:dyDescent="0.2">
      <c r="B315" s="15"/>
      <c r="C315" s="6"/>
      <c r="D315" s="12"/>
      <c r="E315" s="10" t="str">
        <f t="shared" si="21"/>
        <v/>
      </c>
      <c r="F315" s="16"/>
      <c r="G315" s="13"/>
      <c r="H315" s="6"/>
      <c r="I315" s="6"/>
      <c r="J315" s="11" t="str">
        <f t="shared" si="22"/>
        <v/>
      </c>
      <c r="K315" s="17" t="str">
        <f t="shared" si="23"/>
        <v/>
      </c>
      <c r="L315" s="18" t="str">
        <f t="shared" si="24"/>
        <v/>
      </c>
      <c r="M315" s="18" t="str">
        <f>IF(J315&lt;&gt;-1,"",ROUND(F315*IFERROR(INDEX(Stocuri!$G$5:$G$204,MATCH(D315,Coduri,0)),0),2))</f>
        <v/>
      </c>
      <c r="N315" s="19" t="str">
        <f t="shared" si="25"/>
        <v/>
      </c>
    </row>
    <row r="316" spans="2:14" x14ac:dyDescent="0.2">
      <c r="B316" s="15"/>
      <c r="C316" s="6"/>
      <c r="D316" s="12"/>
      <c r="E316" s="10" t="str">
        <f t="shared" si="21"/>
        <v/>
      </c>
      <c r="F316" s="16"/>
      <c r="G316" s="13"/>
      <c r="H316" s="6"/>
      <c r="I316" s="6"/>
      <c r="J316" s="11" t="str">
        <f t="shared" si="22"/>
        <v/>
      </c>
      <c r="K316" s="17" t="str">
        <f t="shared" si="23"/>
        <v/>
      </c>
      <c r="L316" s="18" t="str">
        <f t="shared" si="24"/>
        <v/>
      </c>
      <c r="M316" s="18" t="str">
        <f>IF(J316&lt;&gt;-1,"",ROUND(F316*IFERROR(INDEX(Stocuri!$G$5:$G$204,MATCH(D316,Coduri,0)),0),2))</f>
        <v/>
      </c>
      <c r="N316" s="19" t="str">
        <f t="shared" si="25"/>
        <v/>
      </c>
    </row>
    <row r="317" spans="2:14" x14ac:dyDescent="0.2">
      <c r="B317" s="15"/>
      <c r="C317" s="6"/>
      <c r="D317" s="12"/>
      <c r="E317" s="10" t="str">
        <f t="shared" si="21"/>
        <v/>
      </c>
      <c r="F317" s="16"/>
      <c r="G317" s="13"/>
      <c r="H317" s="6"/>
      <c r="I317" s="6"/>
      <c r="J317" s="11" t="str">
        <f t="shared" si="22"/>
        <v/>
      </c>
      <c r="K317" s="17" t="str">
        <f t="shared" si="23"/>
        <v/>
      </c>
      <c r="L317" s="18" t="str">
        <f t="shared" si="24"/>
        <v/>
      </c>
      <c r="M317" s="18" t="str">
        <f>IF(J317&lt;&gt;-1,"",ROUND(F317*IFERROR(INDEX(Stocuri!$G$5:$G$204,MATCH(D317,Coduri,0)),0),2))</f>
        <v/>
      </c>
      <c r="N317" s="19" t="str">
        <f t="shared" si="25"/>
        <v/>
      </c>
    </row>
    <row r="318" spans="2:14" x14ac:dyDescent="0.2">
      <c r="B318" s="15"/>
      <c r="C318" s="6"/>
      <c r="D318" s="12"/>
      <c r="E318" s="10" t="str">
        <f t="shared" si="21"/>
        <v/>
      </c>
      <c r="F318" s="16"/>
      <c r="G318" s="13"/>
      <c r="H318" s="6"/>
      <c r="I318" s="6"/>
      <c r="J318" s="11" t="str">
        <f t="shared" si="22"/>
        <v/>
      </c>
      <c r="K318" s="17" t="str">
        <f t="shared" si="23"/>
        <v/>
      </c>
      <c r="L318" s="18" t="str">
        <f t="shared" si="24"/>
        <v/>
      </c>
      <c r="M318" s="18" t="str">
        <f>IF(J318&lt;&gt;-1,"",ROUND(F318*IFERROR(INDEX(Stocuri!$G$5:$G$204,MATCH(D318,Coduri,0)),0),2))</f>
        <v/>
      </c>
      <c r="N318" s="19" t="str">
        <f t="shared" si="25"/>
        <v/>
      </c>
    </row>
    <row r="319" spans="2:14" x14ac:dyDescent="0.2">
      <c r="B319" s="15"/>
      <c r="C319" s="6"/>
      <c r="D319" s="12"/>
      <c r="E319" s="10" t="str">
        <f t="shared" si="21"/>
        <v/>
      </c>
      <c r="F319" s="16"/>
      <c r="G319" s="13"/>
      <c r="H319" s="6"/>
      <c r="I319" s="6"/>
      <c r="J319" s="11" t="str">
        <f t="shared" si="22"/>
        <v/>
      </c>
      <c r="K319" s="17" t="str">
        <f t="shared" si="23"/>
        <v/>
      </c>
      <c r="L319" s="18" t="str">
        <f t="shared" si="24"/>
        <v/>
      </c>
      <c r="M319" s="18" t="str">
        <f>IF(J319&lt;&gt;-1,"",ROUND(F319*IFERROR(INDEX(Stocuri!$G$5:$G$204,MATCH(D319,Coduri,0)),0),2))</f>
        <v/>
      </c>
      <c r="N319" s="19" t="str">
        <f t="shared" si="25"/>
        <v/>
      </c>
    </row>
    <row r="320" spans="2:14" x14ac:dyDescent="0.2">
      <c r="B320" s="15"/>
      <c r="C320" s="6"/>
      <c r="D320" s="12"/>
      <c r="E320" s="10" t="str">
        <f t="shared" si="21"/>
        <v/>
      </c>
      <c r="F320" s="16"/>
      <c r="G320" s="13"/>
      <c r="H320" s="6"/>
      <c r="I320" s="6"/>
      <c r="J320" s="11" t="str">
        <f t="shared" si="22"/>
        <v/>
      </c>
      <c r="K320" s="17" t="str">
        <f t="shared" si="23"/>
        <v/>
      </c>
      <c r="L320" s="18" t="str">
        <f t="shared" si="24"/>
        <v/>
      </c>
      <c r="M320" s="18" t="str">
        <f>IF(J320&lt;&gt;-1,"",ROUND(F320*IFERROR(INDEX(Stocuri!$G$5:$G$204,MATCH(D320,Coduri,0)),0),2))</f>
        <v/>
      </c>
      <c r="N320" s="19" t="str">
        <f t="shared" si="25"/>
        <v/>
      </c>
    </row>
    <row r="321" spans="2:14" x14ac:dyDescent="0.2">
      <c r="B321" s="15"/>
      <c r="C321" s="6"/>
      <c r="D321" s="12"/>
      <c r="E321" s="10" t="str">
        <f t="shared" si="21"/>
        <v/>
      </c>
      <c r="F321" s="16"/>
      <c r="G321" s="13"/>
      <c r="H321" s="6"/>
      <c r="I321" s="6"/>
      <c r="J321" s="11" t="str">
        <f t="shared" si="22"/>
        <v/>
      </c>
      <c r="K321" s="17" t="str">
        <f t="shared" si="23"/>
        <v/>
      </c>
      <c r="L321" s="18" t="str">
        <f t="shared" si="24"/>
        <v/>
      </c>
      <c r="M321" s="18" t="str">
        <f>IF(J321&lt;&gt;-1,"",ROUND(F321*IFERROR(INDEX(Stocuri!$G$5:$G$204,MATCH(D321,Coduri,0)),0),2))</f>
        <v/>
      </c>
      <c r="N321" s="19" t="str">
        <f t="shared" si="25"/>
        <v/>
      </c>
    </row>
    <row r="322" spans="2:14" x14ac:dyDescent="0.2">
      <c r="B322" s="15"/>
      <c r="C322" s="6"/>
      <c r="D322" s="12"/>
      <c r="E322" s="10" t="str">
        <f t="shared" si="21"/>
        <v/>
      </c>
      <c r="F322" s="16"/>
      <c r="G322" s="13"/>
      <c r="H322" s="6"/>
      <c r="I322" s="6"/>
      <c r="J322" s="11" t="str">
        <f t="shared" si="22"/>
        <v/>
      </c>
      <c r="K322" s="17" t="str">
        <f t="shared" si="23"/>
        <v/>
      </c>
      <c r="L322" s="18" t="str">
        <f t="shared" si="24"/>
        <v/>
      </c>
      <c r="M322" s="18" t="str">
        <f>IF(J322&lt;&gt;-1,"",ROUND(F322*IFERROR(INDEX(Stocuri!$G$5:$G$204,MATCH(D322,Coduri,0)),0),2))</f>
        <v/>
      </c>
      <c r="N322" s="19" t="str">
        <f t="shared" si="25"/>
        <v/>
      </c>
    </row>
    <row r="323" spans="2:14" x14ac:dyDescent="0.2">
      <c r="B323" s="15"/>
      <c r="C323" s="6"/>
      <c r="D323" s="12"/>
      <c r="E323" s="10" t="str">
        <f t="shared" si="21"/>
        <v/>
      </c>
      <c r="F323" s="16"/>
      <c r="G323" s="13"/>
      <c r="H323" s="6"/>
      <c r="I323" s="6"/>
      <c r="J323" s="11" t="str">
        <f t="shared" si="22"/>
        <v/>
      </c>
      <c r="K323" s="17" t="str">
        <f t="shared" si="23"/>
        <v/>
      </c>
      <c r="L323" s="18" t="str">
        <f t="shared" si="24"/>
        <v/>
      </c>
      <c r="M323" s="18" t="str">
        <f>IF(J323&lt;&gt;-1,"",ROUND(F323*IFERROR(INDEX(Stocuri!$G$5:$G$204,MATCH(D323,Coduri,0)),0),2))</f>
        <v/>
      </c>
      <c r="N323" s="19" t="str">
        <f t="shared" si="25"/>
        <v/>
      </c>
    </row>
    <row r="324" spans="2:14" x14ac:dyDescent="0.2">
      <c r="B324" s="15"/>
      <c r="C324" s="6"/>
      <c r="D324" s="12"/>
      <c r="E324" s="10" t="str">
        <f t="shared" si="21"/>
        <v/>
      </c>
      <c r="F324" s="16"/>
      <c r="G324" s="13"/>
      <c r="H324" s="6"/>
      <c r="I324" s="6"/>
      <c r="J324" s="11" t="str">
        <f t="shared" si="22"/>
        <v/>
      </c>
      <c r="K324" s="17" t="str">
        <f t="shared" si="23"/>
        <v/>
      </c>
      <c r="L324" s="18" t="str">
        <f t="shared" si="24"/>
        <v/>
      </c>
      <c r="M324" s="18" t="str">
        <f>IF(J324&lt;&gt;-1,"",ROUND(F324*IFERROR(INDEX(Stocuri!$G$5:$G$204,MATCH(D324,Coduri,0)),0),2))</f>
        <v/>
      </c>
      <c r="N324" s="19" t="str">
        <f t="shared" si="25"/>
        <v/>
      </c>
    </row>
    <row r="325" spans="2:14" x14ac:dyDescent="0.2">
      <c r="B325" s="15"/>
      <c r="C325" s="6"/>
      <c r="D325" s="12"/>
      <c r="E325" s="10" t="str">
        <f t="shared" ref="E325:E388" si="26">IF(D325="","",IFERROR(VLOOKUP(D325,Catalog,2,FALSE),""))</f>
        <v/>
      </c>
      <c r="F325" s="16"/>
      <c r="G325" s="13"/>
      <c r="H325" s="6"/>
      <c r="I325" s="6"/>
      <c r="J325" s="11" t="str">
        <f t="shared" ref="J325:J388" si="27">IF(C325="","",IFERROR(VLOOKUP(C325,TipSemn,2,FALSE),""))</f>
        <v/>
      </c>
      <c r="K325" s="17" t="str">
        <f t="shared" ref="K325:K388" si="28">IF(OR(J325="",F325=""),"",J325*F325)</f>
        <v/>
      </c>
      <c r="L325" s="18" t="str">
        <f t="shared" ref="L325:L388" si="29">IF(OR(J325&lt;&gt;1,G325=""),"",ROUND(F325*G325,2))</f>
        <v/>
      </c>
      <c r="M325" s="18" t="str">
        <f>IF(J325&lt;&gt;-1,"",ROUND(F325*IFERROR(INDEX(Stocuri!$G$5:$G$204,MATCH(D325,Coduri,0)),0),2))</f>
        <v/>
      </c>
      <c r="N325" s="19" t="str">
        <f t="shared" ref="N325:N388" si="30">IF(AND(B325="",D325=""),"",TRIM(IF(OR(B325="",C325="",D325="",F325=""),"Date incomplete. ","")&amp;IF(AND(D325&lt;&gt;"",E325=""),"Cod necunoscut. ","")&amp;IF(AND(J325=1,C325&lt;&gt;"Retur de la client",C325&lt;&gt;"Ajustare inventar +",G325=""),"Lipsește prețul de intrare. ","")&amp;IF(AND(J325=-1,D325&lt;&gt;"",SUMIFS($K$5:$K$2004,$D$5:$D$2004,D325,$B$5:$B$2004,"&lt;="&amp;B325)&lt;0),"Stoc insuficient la această dată. ","")&amp;IF(AND(C325&lt;&gt;"Stoc inițial",H325=""),"Lipsește documentul. ","")))</f>
        <v/>
      </c>
    </row>
    <row r="326" spans="2:14" x14ac:dyDescent="0.2">
      <c r="B326" s="15"/>
      <c r="C326" s="6"/>
      <c r="D326" s="12"/>
      <c r="E326" s="10" t="str">
        <f t="shared" si="26"/>
        <v/>
      </c>
      <c r="F326" s="16"/>
      <c r="G326" s="13"/>
      <c r="H326" s="6"/>
      <c r="I326" s="6"/>
      <c r="J326" s="11" t="str">
        <f t="shared" si="27"/>
        <v/>
      </c>
      <c r="K326" s="17" t="str">
        <f t="shared" si="28"/>
        <v/>
      </c>
      <c r="L326" s="18" t="str">
        <f t="shared" si="29"/>
        <v/>
      </c>
      <c r="M326" s="18" t="str">
        <f>IF(J326&lt;&gt;-1,"",ROUND(F326*IFERROR(INDEX(Stocuri!$G$5:$G$204,MATCH(D326,Coduri,0)),0),2))</f>
        <v/>
      </c>
      <c r="N326" s="19" t="str">
        <f t="shared" si="30"/>
        <v/>
      </c>
    </row>
    <row r="327" spans="2:14" x14ac:dyDescent="0.2">
      <c r="B327" s="15"/>
      <c r="C327" s="6"/>
      <c r="D327" s="12"/>
      <c r="E327" s="10" t="str">
        <f t="shared" si="26"/>
        <v/>
      </c>
      <c r="F327" s="16"/>
      <c r="G327" s="13"/>
      <c r="H327" s="6"/>
      <c r="I327" s="6"/>
      <c r="J327" s="11" t="str">
        <f t="shared" si="27"/>
        <v/>
      </c>
      <c r="K327" s="17" t="str">
        <f t="shared" si="28"/>
        <v/>
      </c>
      <c r="L327" s="18" t="str">
        <f t="shared" si="29"/>
        <v/>
      </c>
      <c r="M327" s="18" t="str">
        <f>IF(J327&lt;&gt;-1,"",ROUND(F327*IFERROR(INDEX(Stocuri!$G$5:$G$204,MATCH(D327,Coduri,0)),0),2))</f>
        <v/>
      </c>
      <c r="N327" s="19" t="str">
        <f t="shared" si="30"/>
        <v/>
      </c>
    </row>
    <row r="328" spans="2:14" x14ac:dyDescent="0.2">
      <c r="B328" s="15"/>
      <c r="C328" s="6"/>
      <c r="D328" s="12"/>
      <c r="E328" s="10" t="str">
        <f t="shared" si="26"/>
        <v/>
      </c>
      <c r="F328" s="16"/>
      <c r="G328" s="13"/>
      <c r="H328" s="6"/>
      <c r="I328" s="6"/>
      <c r="J328" s="11" t="str">
        <f t="shared" si="27"/>
        <v/>
      </c>
      <c r="K328" s="17" t="str">
        <f t="shared" si="28"/>
        <v/>
      </c>
      <c r="L328" s="18" t="str">
        <f t="shared" si="29"/>
        <v/>
      </c>
      <c r="M328" s="18" t="str">
        <f>IF(J328&lt;&gt;-1,"",ROUND(F328*IFERROR(INDEX(Stocuri!$G$5:$G$204,MATCH(D328,Coduri,0)),0),2))</f>
        <v/>
      </c>
      <c r="N328" s="19" t="str">
        <f t="shared" si="30"/>
        <v/>
      </c>
    </row>
    <row r="329" spans="2:14" x14ac:dyDescent="0.2">
      <c r="B329" s="15"/>
      <c r="C329" s="6"/>
      <c r="D329" s="12"/>
      <c r="E329" s="10" t="str">
        <f t="shared" si="26"/>
        <v/>
      </c>
      <c r="F329" s="16"/>
      <c r="G329" s="13"/>
      <c r="H329" s="6"/>
      <c r="I329" s="6"/>
      <c r="J329" s="11" t="str">
        <f t="shared" si="27"/>
        <v/>
      </c>
      <c r="K329" s="17" t="str">
        <f t="shared" si="28"/>
        <v/>
      </c>
      <c r="L329" s="18" t="str">
        <f t="shared" si="29"/>
        <v/>
      </c>
      <c r="M329" s="18" t="str">
        <f>IF(J329&lt;&gt;-1,"",ROUND(F329*IFERROR(INDEX(Stocuri!$G$5:$G$204,MATCH(D329,Coduri,0)),0),2))</f>
        <v/>
      </c>
      <c r="N329" s="19" t="str">
        <f t="shared" si="30"/>
        <v/>
      </c>
    </row>
    <row r="330" spans="2:14" x14ac:dyDescent="0.2">
      <c r="B330" s="15"/>
      <c r="C330" s="6"/>
      <c r="D330" s="12"/>
      <c r="E330" s="10" t="str">
        <f t="shared" si="26"/>
        <v/>
      </c>
      <c r="F330" s="16"/>
      <c r="G330" s="13"/>
      <c r="H330" s="6"/>
      <c r="I330" s="6"/>
      <c r="J330" s="11" t="str">
        <f t="shared" si="27"/>
        <v/>
      </c>
      <c r="K330" s="17" t="str">
        <f t="shared" si="28"/>
        <v/>
      </c>
      <c r="L330" s="18" t="str">
        <f t="shared" si="29"/>
        <v/>
      </c>
      <c r="M330" s="18" t="str">
        <f>IF(J330&lt;&gt;-1,"",ROUND(F330*IFERROR(INDEX(Stocuri!$G$5:$G$204,MATCH(D330,Coduri,0)),0),2))</f>
        <v/>
      </c>
      <c r="N330" s="19" t="str">
        <f t="shared" si="30"/>
        <v/>
      </c>
    </row>
    <row r="331" spans="2:14" x14ac:dyDescent="0.2">
      <c r="B331" s="15"/>
      <c r="C331" s="6"/>
      <c r="D331" s="12"/>
      <c r="E331" s="10" t="str">
        <f t="shared" si="26"/>
        <v/>
      </c>
      <c r="F331" s="16"/>
      <c r="G331" s="13"/>
      <c r="H331" s="6"/>
      <c r="I331" s="6"/>
      <c r="J331" s="11" t="str">
        <f t="shared" si="27"/>
        <v/>
      </c>
      <c r="K331" s="17" t="str">
        <f t="shared" si="28"/>
        <v/>
      </c>
      <c r="L331" s="18" t="str">
        <f t="shared" si="29"/>
        <v/>
      </c>
      <c r="M331" s="18" t="str">
        <f>IF(J331&lt;&gt;-1,"",ROUND(F331*IFERROR(INDEX(Stocuri!$G$5:$G$204,MATCH(D331,Coduri,0)),0),2))</f>
        <v/>
      </c>
      <c r="N331" s="19" t="str">
        <f t="shared" si="30"/>
        <v/>
      </c>
    </row>
    <row r="332" spans="2:14" x14ac:dyDescent="0.2">
      <c r="B332" s="15"/>
      <c r="C332" s="6"/>
      <c r="D332" s="12"/>
      <c r="E332" s="10" t="str">
        <f t="shared" si="26"/>
        <v/>
      </c>
      <c r="F332" s="16"/>
      <c r="G332" s="13"/>
      <c r="H332" s="6"/>
      <c r="I332" s="6"/>
      <c r="J332" s="11" t="str">
        <f t="shared" si="27"/>
        <v/>
      </c>
      <c r="K332" s="17" t="str">
        <f t="shared" si="28"/>
        <v/>
      </c>
      <c r="L332" s="18" t="str">
        <f t="shared" si="29"/>
        <v/>
      </c>
      <c r="M332" s="18" t="str">
        <f>IF(J332&lt;&gt;-1,"",ROUND(F332*IFERROR(INDEX(Stocuri!$G$5:$G$204,MATCH(D332,Coduri,0)),0),2))</f>
        <v/>
      </c>
      <c r="N332" s="19" t="str">
        <f t="shared" si="30"/>
        <v/>
      </c>
    </row>
    <row r="333" spans="2:14" x14ac:dyDescent="0.2">
      <c r="B333" s="15"/>
      <c r="C333" s="6"/>
      <c r="D333" s="12"/>
      <c r="E333" s="10" t="str">
        <f t="shared" si="26"/>
        <v/>
      </c>
      <c r="F333" s="16"/>
      <c r="G333" s="13"/>
      <c r="H333" s="6"/>
      <c r="I333" s="6"/>
      <c r="J333" s="11" t="str">
        <f t="shared" si="27"/>
        <v/>
      </c>
      <c r="K333" s="17" t="str">
        <f t="shared" si="28"/>
        <v/>
      </c>
      <c r="L333" s="18" t="str">
        <f t="shared" si="29"/>
        <v/>
      </c>
      <c r="M333" s="18" t="str">
        <f>IF(J333&lt;&gt;-1,"",ROUND(F333*IFERROR(INDEX(Stocuri!$G$5:$G$204,MATCH(D333,Coduri,0)),0),2))</f>
        <v/>
      </c>
      <c r="N333" s="19" t="str">
        <f t="shared" si="30"/>
        <v/>
      </c>
    </row>
    <row r="334" spans="2:14" x14ac:dyDescent="0.2">
      <c r="B334" s="15"/>
      <c r="C334" s="6"/>
      <c r="D334" s="12"/>
      <c r="E334" s="10" t="str">
        <f t="shared" si="26"/>
        <v/>
      </c>
      <c r="F334" s="16"/>
      <c r="G334" s="13"/>
      <c r="H334" s="6"/>
      <c r="I334" s="6"/>
      <c r="J334" s="11" t="str">
        <f t="shared" si="27"/>
        <v/>
      </c>
      <c r="K334" s="17" t="str">
        <f t="shared" si="28"/>
        <v/>
      </c>
      <c r="L334" s="18" t="str">
        <f t="shared" si="29"/>
        <v/>
      </c>
      <c r="M334" s="18" t="str">
        <f>IF(J334&lt;&gt;-1,"",ROUND(F334*IFERROR(INDEX(Stocuri!$G$5:$G$204,MATCH(D334,Coduri,0)),0),2))</f>
        <v/>
      </c>
      <c r="N334" s="19" t="str">
        <f t="shared" si="30"/>
        <v/>
      </c>
    </row>
    <row r="335" spans="2:14" x14ac:dyDescent="0.2">
      <c r="B335" s="15"/>
      <c r="C335" s="6"/>
      <c r="D335" s="12"/>
      <c r="E335" s="10" t="str">
        <f t="shared" si="26"/>
        <v/>
      </c>
      <c r="F335" s="16"/>
      <c r="G335" s="13"/>
      <c r="H335" s="6"/>
      <c r="I335" s="6"/>
      <c r="J335" s="11" t="str">
        <f t="shared" si="27"/>
        <v/>
      </c>
      <c r="K335" s="17" t="str">
        <f t="shared" si="28"/>
        <v/>
      </c>
      <c r="L335" s="18" t="str">
        <f t="shared" si="29"/>
        <v/>
      </c>
      <c r="M335" s="18" t="str">
        <f>IF(J335&lt;&gt;-1,"",ROUND(F335*IFERROR(INDEX(Stocuri!$G$5:$G$204,MATCH(D335,Coduri,0)),0),2))</f>
        <v/>
      </c>
      <c r="N335" s="19" t="str">
        <f t="shared" si="30"/>
        <v/>
      </c>
    </row>
    <row r="336" spans="2:14" x14ac:dyDescent="0.2">
      <c r="B336" s="15"/>
      <c r="C336" s="6"/>
      <c r="D336" s="12"/>
      <c r="E336" s="10" t="str">
        <f t="shared" si="26"/>
        <v/>
      </c>
      <c r="F336" s="16"/>
      <c r="G336" s="13"/>
      <c r="H336" s="6"/>
      <c r="I336" s="6"/>
      <c r="J336" s="11" t="str">
        <f t="shared" si="27"/>
        <v/>
      </c>
      <c r="K336" s="17" t="str">
        <f t="shared" si="28"/>
        <v/>
      </c>
      <c r="L336" s="18" t="str">
        <f t="shared" si="29"/>
        <v/>
      </c>
      <c r="M336" s="18" t="str">
        <f>IF(J336&lt;&gt;-1,"",ROUND(F336*IFERROR(INDEX(Stocuri!$G$5:$G$204,MATCH(D336,Coduri,0)),0),2))</f>
        <v/>
      </c>
      <c r="N336" s="19" t="str">
        <f t="shared" si="30"/>
        <v/>
      </c>
    </row>
    <row r="337" spans="2:14" x14ac:dyDescent="0.2">
      <c r="B337" s="15"/>
      <c r="C337" s="6"/>
      <c r="D337" s="12"/>
      <c r="E337" s="10" t="str">
        <f t="shared" si="26"/>
        <v/>
      </c>
      <c r="F337" s="16"/>
      <c r="G337" s="13"/>
      <c r="H337" s="6"/>
      <c r="I337" s="6"/>
      <c r="J337" s="11" t="str">
        <f t="shared" si="27"/>
        <v/>
      </c>
      <c r="K337" s="17" t="str">
        <f t="shared" si="28"/>
        <v/>
      </c>
      <c r="L337" s="18" t="str">
        <f t="shared" si="29"/>
        <v/>
      </c>
      <c r="M337" s="18" t="str">
        <f>IF(J337&lt;&gt;-1,"",ROUND(F337*IFERROR(INDEX(Stocuri!$G$5:$G$204,MATCH(D337,Coduri,0)),0),2))</f>
        <v/>
      </c>
      <c r="N337" s="19" t="str">
        <f t="shared" si="30"/>
        <v/>
      </c>
    </row>
    <row r="338" spans="2:14" x14ac:dyDescent="0.2">
      <c r="B338" s="15"/>
      <c r="C338" s="6"/>
      <c r="D338" s="12"/>
      <c r="E338" s="10" t="str">
        <f t="shared" si="26"/>
        <v/>
      </c>
      <c r="F338" s="16"/>
      <c r="G338" s="13"/>
      <c r="H338" s="6"/>
      <c r="I338" s="6"/>
      <c r="J338" s="11" t="str">
        <f t="shared" si="27"/>
        <v/>
      </c>
      <c r="K338" s="17" t="str">
        <f t="shared" si="28"/>
        <v/>
      </c>
      <c r="L338" s="18" t="str">
        <f t="shared" si="29"/>
        <v/>
      </c>
      <c r="M338" s="18" t="str">
        <f>IF(J338&lt;&gt;-1,"",ROUND(F338*IFERROR(INDEX(Stocuri!$G$5:$G$204,MATCH(D338,Coduri,0)),0),2))</f>
        <v/>
      </c>
      <c r="N338" s="19" t="str">
        <f t="shared" si="30"/>
        <v/>
      </c>
    </row>
    <row r="339" spans="2:14" x14ac:dyDescent="0.2">
      <c r="B339" s="15"/>
      <c r="C339" s="6"/>
      <c r="D339" s="12"/>
      <c r="E339" s="10" t="str">
        <f t="shared" si="26"/>
        <v/>
      </c>
      <c r="F339" s="16"/>
      <c r="G339" s="13"/>
      <c r="H339" s="6"/>
      <c r="I339" s="6"/>
      <c r="J339" s="11" t="str">
        <f t="shared" si="27"/>
        <v/>
      </c>
      <c r="K339" s="17" t="str">
        <f t="shared" si="28"/>
        <v/>
      </c>
      <c r="L339" s="18" t="str">
        <f t="shared" si="29"/>
        <v/>
      </c>
      <c r="M339" s="18" t="str">
        <f>IF(J339&lt;&gt;-1,"",ROUND(F339*IFERROR(INDEX(Stocuri!$G$5:$G$204,MATCH(D339,Coduri,0)),0),2))</f>
        <v/>
      </c>
      <c r="N339" s="19" t="str">
        <f t="shared" si="30"/>
        <v/>
      </c>
    </row>
    <row r="340" spans="2:14" x14ac:dyDescent="0.2">
      <c r="B340" s="15"/>
      <c r="C340" s="6"/>
      <c r="D340" s="12"/>
      <c r="E340" s="10" t="str">
        <f t="shared" si="26"/>
        <v/>
      </c>
      <c r="F340" s="16"/>
      <c r="G340" s="13"/>
      <c r="H340" s="6"/>
      <c r="I340" s="6"/>
      <c r="J340" s="11" t="str">
        <f t="shared" si="27"/>
        <v/>
      </c>
      <c r="K340" s="17" t="str">
        <f t="shared" si="28"/>
        <v/>
      </c>
      <c r="L340" s="18" t="str">
        <f t="shared" si="29"/>
        <v/>
      </c>
      <c r="M340" s="18" t="str">
        <f>IF(J340&lt;&gt;-1,"",ROUND(F340*IFERROR(INDEX(Stocuri!$G$5:$G$204,MATCH(D340,Coduri,0)),0),2))</f>
        <v/>
      </c>
      <c r="N340" s="19" t="str">
        <f t="shared" si="30"/>
        <v/>
      </c>
    </row>
    <row r="341" spans="2:14" x14ac:dyDescent="0.2">
      <c r="B341" s="15"/>
      <c r="C341" s="6"/>
      <c r="D341" s="12"/>
      <c r="E341" s="10" t="str">
        <f t="shared" si="26"/>
        <v/>
      </c>
      <c r="F341" s="16"/>
      <c r="G341" s="13"/>
      <c r="H341" s="6"/>
      <c r="I341" s="6"/>
      <c r="J341" s="11" t="str">
        <f t="shared" si="27"/>
        <v/>
      </c>
      <c r="K341" s="17" t="str">
        <f t="shared" si="28"/>
        <v/>
      </c>
      <c r="L341" s="18" t="str">
        <f t="shared" si="29"/>
        <v/>
      </c>
      <c r="M341" s="18" t="str">
        <f>IF(J341&lt;&gt;-1,"",ROUND(F341*IFERROR(INDEX(Stocuri!$G$5:$G$204,MATCH(D341,Coduri,0)),0),2))</f>
        <v/>
      </c>
      <c r="N341" s="19" t="str">
        <f t="shared" si="30"/>
        <v/>
      </c>
    </row>
    <row r="342" spans="2:14" x14ac:dyDescent="0.2">
      <c r="B342" s="15"/>
      <c r="C342" s="6"/>
      <c r="D342" s="12"/>
      <c r="E342" s="10" t="str">
        <f t="shared" si="26"/>
        <v/>
      </c>
      <c r="F342" s="16"/>
      <c r="G342" s="13"/>
      <c r="H342" s="6"/>
      <c r="I342" s="6"/>
      <c r="J342" s="11" t="str">
        <f t="shared" si="27"/>
        <v/>
      </c>
      <c r="K342" s="17" t="str">
        <f t="shared" si="28"/>
        <v/>
      </c>
      <c r="L342" s="18" t="str">
        <f t="shared" si="29"/>
        <v/>
      </c>
      <c r="M342" s="18" t="str">
        <f>IF(J342&lt;&gt;-1,"",ROUND(F342*IFERROR(INDEX(Stocuri!$G$5:$G$204,MATCH(D342,Coduri,0)),0),2))</f>
        <v/>
      </c>
      <c r="N342" s="19" t="str">
        <f t="shared" si="30"/>
        <v/>
      </c>
    </row>
    <row r="343" spans="2:14" x14ac:dyDescent="0.2">
      <c r="B343" s="15"/>
      <c r="C343" s="6"/>
      <c r="D343" s="12"/>
      <c r="E343" s="10" t="str">
        <f t="shared" si="26"/>
        <v/>
      </c>
      <c r="F343" s="16"/>
      <c r="G343" s="13"/>
      <c r="H343" s="6"/>
      <c r="I343" s="6"/>
      <c r="J343" s="11" t="str">
        <f t="shared" si="27"/>
        <v/>
      </c>
      <c r="K343" s="17" t="str">
        <f t="shared" si="28"/>
        <v/>
      </c>
      <c r="L343" s="18" t="str">
        <f t="shared" si="29"/>
        <v/>
      </c>
      <c r="M343" s="18" t="str">
        <f>IF(J343&lt;&gt;-1,"",ROUND(F343*IFERROR(INDEX(Stocuri!$G$5:$G$204,MATCH(D343,Coduri,0)),0),2))</f>
        <v/>
      </c>
      <c r="N343" s="19" t="str">
        <f t="shared" si="30"/>
        <v/>
      </c>
    </row>
    <row r="344" spans="2:14" x14ac:dyDescent="0.2">
      <c r="B344" s="15"/>
      <c r="C344" s="6"/>
      <c r="D344" s="12"/>
      <c r="E344" s="10" t="str">
        <f t="shared" si="26"/>
        <v/>
      </c>
      <c r="F344" s="16"/>
      <c r="G344" s="13"/>
      <c r="H344" s="6"/>
      <c r="I344" s="6"/>
      <c r="J344" s="11" t="str">
        <f t="shared" si="27"/>
        <v/>
      </c>
      <c r="K344" s="17" t="str">
        <f t="shared" si="28"/>
        <v/>
      </c>
      <c r="L344" s="18" t="str">
        <f t="shared" si="29"/>
        <v/>
      </c>
      <c r="M344" s="18" t="str">
        <f>IF(J344&lt;&gt;-1,"",ROUND(F344*IFERROR(INDEX(Stocuri!$G$5:$G$204,MATCH(D344,Coduri,0)),0),2))</f>
        <v/>
      </c>
      <c r="N344" s="19" t="str">
        <f t="shared" si="30"/>
        <v/>
      </c>
    </row>
    <row r="345" spans="2:14" x14ac:dyDescent="0.2">
      <c r="B345" s="15"/>
      <c r="C345" s="6"/>
      <c r="D345" s="12"/>
      <c r="E345" s="10" t="str">
        <f t="shared" si="26"/>
        <v/>
      </c>
      <c r="F345" s="16"/>
      <c r="G345" s="13"/>
      <c r="H345" s="6"/>
      <c r="I345" s="6"/>
      <c r="J345" s="11" t="str">
        <f t="shared" si="27"/>
        <v/>
      </c>
      <c r="K345" s="17" t="str">
        <f t="shared" si="28"/>
        <v/>
      </c>
      <c r="L345" s="18" t="str">
        <f t="shared" si="29"/>
        <v/>
      </c>
      <c r="M345" s="18" t="str">
        <f>IF(J345&lt;&gt;-1,"",ROUND(F345*IFERROR(INDEX(Stocuri!$G$5:$G$204,MATCH(D345,Coduri,0)),0),2))</f>
        <v/>
      </c>
      <c r="N345" s="19" t="str">
        <f t="shared" si="30"/>
        <v/>
      </c>
    </row>
    <row r="346" spans="2:14" x14ac:dyDescent="0.2">
      <c r="B346" s="15"/>
      <c r="C346" s="6"/>
      <c r="D346" s="12"/>
      <c r="E346" s="10" t="str">
        <f t="shared" si="26"/>
        <v/>
      </c>
      <c r="F346" s="16"/>
      <c r="G346" s="13"/>
      <c r="H346" s="6"/>
      <c r="I346" s="6"/>
      <c r="J346" s="11" t="str">
        <f t="shared" si="27"/>
        <v/>
      </c>
      <c r="K346" s="17" t="str">
        <f t="shared" si="28"/>
        <v/>
      </c>
      <c r="L346" s="18" t="str">
        <f t="shared" si="29"/>
        <v/>
      </c>
      <c r="M346" s="18" t="str">
        <f>IF(J346&lt;&gt;-1,"",ROUND(F346*IFERROR(INDEX(Stocuri!$G$5:$G$204,MATCH(D346,Coduri,0)),0),2))</f>
        <v/>
      </c>
      <c r="N346" s="19" t="str">
        <f t="shared" si="30"/>
        <v/>
      </c>
    </row>
    <row r="347" spans="2:14" x14ac:dyDescent="0.2">
      <c r="B347" s="15"/>
      <c r="C347" s="6"/>
      <c r="D347" s="12"/>
      <c r="E347" s="10" t="str">
        <f t="shared" si="26"/>
        <v/>
      </c>
      <c r="F347" s="16"/>
      <c r="G347" s="13"/>
      <c r="H347" s="6"/>
      <c r="I347" s="6"/>
      <c r="J347" s="11" t="str">
        <f t="shared" si="27"/>
        <v/>
      </c>
      <c r="K347" s="17" t="str">
        <f t="shared" si="28"/>
        <v/>
      </c>
      <c r="L347" s="18" t="str">
        <f t="shared" si="29"/>
        <v/>
      </c>
      <c r="M347" s="18" t="str">
        <f>IF(J347&lt;&gt;-1,"",ROUND(F347*IFERROR(INDEX(Stocuri!$G$5:$G$204,MATCH(D347,Coduri,0)),0),2))</f>
        <v/>
      </c>
      <c r="N347" s="19" t="str">
        <f t="shared" si="30"/>
        <v/>
      </c>
    </row>
    <row r="348" spans="2:14" x14ac:dyDescent="0.2">
      <c r="B348" s="15"/>
      <c r="C348" s="6"/>
      <c r="D348" s="12"/>
      <c r="E348" s="10" t="str">
        <f t="shared" si="26"/>
        <v/>
      </c>
      <c r="F348" s="16"/>
      <c r="G348" s="13"/>
      <c r="H348" s="6"/>
      <c r="I348" s="6"/>
      <c r="J348" s="11" t="str">
        <f t="shared" si="27"/>
        <v/>
      </c>
      <c r="K348" s="17" t="str">
        <f t="shared" si="28"/>
        <v/>
      </c>
      <c r="L348" s="18" t="str">
        <f t="shared" si="29"/>
        <v/>
      </c>
      <c r="M348" s="18" t="str">
        <f>IF(J348&lt;&gt;-1,"",ROUND(F348*IFERROR(INDEX(Stocuri!$G$5:$G$204,MATCH(D348,Coduri,0)),0),2))</f>
        <v/>
      </c>
      <c r="N348" s="19" t="str">
        <f t="shared" si="30"/>
        <v/>
      </c>
    </row>
    <row r="349" spans="2:14" x14ac:dyDescent="0.2">
      <c r="B349" s="15"/>
      <c r="C349" s="6"/>
      <c r="D349" s="12"/>
      <c r="E349" s="10" t="str">
        <f t="shared" si="26"/>
        <v/>
      </c>
      <c r="F349" s="16"/>
      <c r="G349" s="13"/>
      <c r="H349" s="6"/>
      <c r="I349" s="6"/>
      <c r="J349" s="11" t="str">
        <f t="shared" si="27"/>
        <v/>
      </c>
      <c r="K349" s="17" t="str">
        <f t="shared" si="28"/>
        <v/>
      </c>
      <c r="L349" s="18" t="str">
        <f t="shared" si="29"/>
        <v/>
      </c>
      <c r="M349" s="18" t="str">
        <f>IF(J349&lt;&gt;-1,"",ROUND(F349*IFERROR(INDEX(Stocuri!$G$5:$G$204,MATCH(D349,Coduri,0)),0),2))</f>
        <v/>
      </c>
      <c r="N349" s="19" t="str">
        <f t="shared" si="30"/>
        <v/>
      </c>
    </row>
    <row r="350" spans="2:14" x14ac:dyDescent="0.2">
      <c r="B350" s="15"/>
      <c r="C350" s="6"/>
      <c r="D350" s="12"/>
      <c r="E350" s="10" t="str">
        <f t="shared" si="26"/>
        <v/>
      </c>
      <c r="F350" s="16"/>
      <c r="G350" s="13"/>
      <c r="H350" s="6"/>
      <c r="I350" s="6"/>
      <c r="J350" s="11" t="str">
        <f t="shared" si="27"/>
        <v/>
      </c>
      <c r="K350" s="17" t="str">
        <f t="shared" si="28"/>
        <v/>
      </c>
      <c r="L350" s="18" t="str">
        <f t="shared" si="29"/>
        <v/>
      </c>
      <c r="M350" s="18" t="str">
        <f>IF(J350&lt;&gt;-1,"",ROUND(F350*IFERROR(INDEX(Stocuri!$G$5:$G$204,MATCH(D350,Coduri,0)),0),2))</f>
        <v/>
      </c>
      <c r="N350" s="19" t="str">
        <f t="shared" si="30"/>
        <v/>
      </c>
    </row>
    <row r="351" spans="2:14" x14ac:dyDescent="0.2">
      <c r="B351" s="15"/>
      <c r="C351" s="6"/>
      <c r="D351" s="12"/>
      <c r="E351" s="10" t="str">
        <f t="shared" si="26"/>
        <v/>
      </c>
      <c r="F351" s="16"/>
      <c r="G351" s="13"/>
      <c r="H351" s="6"/>
      <c r="I351" s="6"/>
      <c r="J351" s="11" t="str">
        <f t="shared" si="27"/>
        <v/>
      </c>
      <c r="K351" s="17" t="str">
        <f t="shared" si="28"/>
        <v/>
      </c>
      <c r="L351" s="18" t="str">
        <f t="shared" si="29"/>
        <v/>
      </c>
      <c r="M351" s="18" t="str">
        <f>IF(J351&lt;&gt;-1,"",ROUND(F351*IFERROR(INDEX(Stocuri!$G$5:$G$204,MATCH(D351,Coduri,0)),0),2))</f>
        <v/>
      </c>
      <c r="N351" s="19" t="str">
        <f t="shared" si="30"/>
        <v/>
      </c>
    </row>
    <row r="352" spans="2:14" x14ac:dyDescent="0.2">
      <c r="B352" s="15"/>
      <c r="C352" s="6"/>
      <c r="D352" s="12"/>
      <c r="E352" s="10" t="str">
        <f t="shared" si="26"/>
        <v/>
      </c>
      <c r="F352" s="16"/>
      <c r="G352" s="13"/>
      <c r="H352" s="6"/>
      <c r="I352" s="6"/>
      <c r="J352" s="11" t="str">
        <f t="shared" si="27"/>
        <v/>
      </c>
      <c r="K352" s="17" t="str">
        <f t="shared" si="28"/>
        <v/>
      </c>
      <c r="L352" s="18" t="str">
        <f t="shared" si="29"/>
        <v/>
      </c>
      <c r="M352" s="18" t="str">
        <f>IF(J352&lt;&gt;-1,"",ROUND(F352*IFERROR(INDEX(Stocuri!$G$5:$G$204,MATCH(D352,Coduri,0)),0),2))</f>
        <v/>
      </c>
      <c r="N352" s="19" t="str">
        <f t="shared" si="30"/>
        <v/>
      </c>
    </row>
    <row r="353" spans="2:14" x14ac:dyDescent="0.2">
      <c r="B353" s="15"/>
      <c r="C353" s="6"/>
      <c r="D353" s="12"/>
      <c r="E353" s="10" t="str">
        <f t="shared" si="26"/>
        <v/>
      </c>
      <c r="F353" s="16"/>
      <c r="G353" s="13"/>
      <c r="H353" s="6"/>
      <c r="I353" s="6"/>
      <c r="J353" s="11" t="str">
        <f t="shared" si="27"/>
        <v/>
      </c>
      <c r="K353" s="17" t="str">
        <f t="shared" si="28"/>
        <v/>
      </c>
      <c r="L353" s="18" t="str">
        <f t="shared" si="29"/>
        <v/>
      </c>
      <c r="M353" s="18" t="str">
        <f>IF(J353&lt;&gt;-1,"",ROUND(F353*IFERROR(INDEX(Stocuri!$G$5:$G$204,MATCH(D353,Coduri,0)),0),2))</f>
        <v/>
      </c>
      <c r="N353" s="19" t="str">
        <f t="shared" si="30"/>
        <v/>
      </c>
    </row>
    <row r="354" spans="2:14" x14ac:dyDescent="0.2">
      <c r="B354" s="15"/>
      <c r="C354" s="6"/>
      <c r="D354" s="12"/>
      <c r="E354" s="10" t="str">
        <f t="shared" si="26"/>
        <v/>
      </c>
      <c r="F354" s="16"/>
      <c r="G354" s="13"/>
      <c r="H354" s="6"/>
      <c r="I354" s="6"/>
      <c r="J354" s="11" t="str">
        <f t="shared" si="27"/>
        <v/>
      </c>
      <c r="K354" s="17" t="str">
        <f t="shared" si="28"/>
        <v/>
      </c>
      <c r="L354" s="18" t="str">
        <f t="shared" si="29"/>
        <v/>
      </c>
      <c r="M354" s="18" t="str">
        <f>IF(J354&lt;&gt;-1,"",ROUND(F354*IFERROR(INDEX(Stocuri!$G$5:$G$204,MATCH(D354,Coduri,0)),0),2))</f>
        <v/>
      </c>
      <c r="N354" s="19" t="str">
        <f t="shared" si="30"/>
        <v/>
      </c>
    </row>
    <row r="355" spans="2:14" x14ac:dyDescent="0.2">
      <c r="B355" s="15"/>
      <c r="C355" s="6"/>
      <c r="D355" s="12"/>
      <c r="E355" s="10" t="str">
        <f t="shared" si="26"/>
        <v/>
      </c>
      <c r="F355" s="16"/>
      <c r="G355" s="13"/>
      <c r="H355" s="6"/>
      <c r="I355" s="6"/>
      <c r="J355" s="11" t="str">
        <f t="shared" si="27"/>
        <v/>
      </c>
      <c r="K355" s="17" t="str">
        <f t="shared" si="28"/>
        <v/>
      </c>
      <c r="L355" s="18" t="str">
        <f t="shared" si="29"/>
        <v/>
      </c>
      <c r="M355" s="18" t="str">
        <f>IF(J355&lt;&gt;-1,"",ROUND(F355*IFERROR(INDEX(Stocuri!$G$5:$G$204,MATCH(D355,Coduri,0)),0),2))</f>
        <v/>
      </c>
      <c r="N355" s="19" t="str">
        <f t="shared" si="30"/>
        <v/>
      </c>
    </row>
    <row r="356" spans="2:14" x14ac:dyDescent="0.2">
      <c r="B356" s="15"/>
      <c r="C356" s="6"/>
      <c r="D356" s="12"/>
      <c r="E356" s="10" t="str">
        <f t="shared" si="26"/>
        <v/>
      </c>
      <c r="F356" s="16"/>
      <c r="G356" s="13"/>
      <c r="H356" s="6"/>
      <c r="I356" s="6"/>
      <c r="J356" s="11" t="str">
        <f t="shared" si="27"/>
        <v/>
      </c>
      <c r="K356" s="17" t="str">
        <f t="shared" si="28"/>
        <v/>
      </c>
      <c r="L356" s="18" t="str">
        <f t="shared" si="29"/>
        <v/>
      </c>
      <c r="M356" s="18" t="str">
        <f>IF(J356&lt;&gt;-1,"",ROUND(F356*IFERROR(INDEX(Stocuri!$G$5:$G$204,MATCH(D356,Coduri,0)),0),2))</f>
        <v/>
      </c>
      <c r="N356" s="19" t="str">
        <f t="shared" si="30"/>
        <v/>
      </c>
    </row>
    <row r="357" spans="2:14" x14ac:dyDescent="0.2">
      <c r="B357" s="15"/>
      <c r="C357" s="6"/>
      <c r="D357" s="12"/>
      <c r="E357" s="10" t="str">
        <f t="shared" si="26"/>
        <v/>
      </c>
      <c r="F357" s="16"/>
      <c r="G357" s="13"/>
      <c r="H357" s="6"/>
      <c r="I357" s="6"/>
      <c r="J357" s="11" t="str">
        <f t="shared" si="27"/>
        <v/>
      </c>
      <c r="K357" s="17" t="str">
        <f t="shared" si="28"/>
        <v/>
      </c>
      <c r="L357" s="18" t="str">
        <f t="shared" si="29"/>
        <v/>
      </c>
      <c r="M357" s="18" t="str">
        <f>IF(J357&lt;&gt;-1,"",ROUND(F357*IFERROR(INDEX(Stocuri!$G$5:$G$204,MATCH(D357,Coduri,0)),0),2))</f>
        <v/>
      </c>
      <c r="N357" s="19" t="str">
        <f t="shared" si="30"/>
        <v/>
      </c>
    </row>
    <row r="358" spans="2:14" x14ac:dyDescent="0.2">
      <c r="B358" s="15"/>
      <c r="C358" s="6"/>
      <c r="D358" s="12"/>
      <c r="E358" s="10" t="str">
        <f t="shared" si="26"/>
        <v/>
      </c>
      <c r="F358" s="16"/>
      <c r="G358" s="13"/>
      <c r="H358" s="6"/>
      <c r="I358" s="6"/>
      <c r="J358" s="11" t="str">
        <f t="shared" si="27"/>
        <v/>
      </c>
      <c r="K358" s="17" t="str">
        <f t="shared" si="28"/>
        <v/>
      </c>
      <c r="L358" s="18" t="str">
        <f t="shared" si="29"/>
        <v/>
      </c>
      <c r="M358" s="18" t="str">
        <f>IF(J358&lt;&gt;-1,"",ROUND(F358*IFERROR(INDEX(Stocuri!$G$5:$G$204,MATCH(D358,Coduri,0)),0),2))</f>
        <v/>
      </c>
      <c r="N358" s="19" t="str">
        <f t="shared" si="30"/>
        <v/>
      </c>
    </row>
    <row r="359" spans="2:14" x14ac:dyDescent="0.2">
      <c r="B359" s="15"/>
      <c r="C359" s="6"/>
      <c r="D359" s="12"/>
      <c r="E359" s="10" t="str">
        <f t="shared" si="26"/>
        <v/>
      </c>
      <c r="F359" s="16"/>
      <c r="G359" s="13"/>
      <c r="H359" s="6"/>
      <c r="I359" s="6"/>
      <c r="J359" s="11" t="str">
        <f t="shared" si="27"/>
        <v/>
      </c>
      <c r="K359" s="17" t="str">
        <f t="shared" si="28"/>
        <v/>
      </c>
      <c r="L359" s="18" t="str">
        <f t="shared" si="29"/>
        <v/>
      </c>
      <c r="M359" s="18" t="str">
        <f>IF(J359&lt;&gt;-1,"",ROUND(F359*IFERROR(INDEX(Stocuri!$G$5:$G$204,MATCH(D359,Coduri,0)),0),2))</f>
        <v/>
      </c>
      <c r="N359" s="19" t="str">
        <f t="shared" si="30"/>
        <v/>
      </c>
    </row>
    <row r="360" spans="2:14" x14ac:dyDescent="0.2">
      <c r="B360" s="15"/>
      <c r="C360" s="6"/>
      <c r="D360" s="12"/>
      <c r="E360" s="10" t="str">
        <f t="shared" si="26"/>
        <v/>
      </c>
      <c r="F360" s="16"/>
      <c r="G360" s="13"/>
      <c r="H360" s="6"/>
      <c r="I360" s="6"/>
      <c r="J360" s="11" t="str">
        <f t="shared" si="27"/>
        <v/>
      </c>
      <c r="K360" s="17" t="str">
        <f t="shared" si="28"/>
        <v/>
      </c>
      <c r="L360" s="18" t="str">
        <f t="shared" si="29"/>
        <v/>
      </c>
      <c r="M360" s="18" t="str">
        <f>IF(J360&lt;&gt;-1,"",ROUND(F360*IFERROR(INDEX(Stocuri!$G$5:$G$204,MATCH(D360,Coduri,0)),0),2))</f>
        <v/>
      </c>
      <c r="N360" s="19" t="str">
        <f t="shared" si="30"/>
        <v/>
      </c>
    </row>
    <row r="361" spans="2:14" x14ac:dyDescent="0.2">
      <c r="B361" s="15"/>
      <c r="C361" s="6"/>
      <c r="D361" s="12"/>
      <c r="E361" s="10" t="str">
        <f t="shared" si="26"/>
        <v/>
      </c>
      <c r="F361" s="16"/>
      <c r="G361" s="13"/>
      <c r="H361" s="6"/>
      <c r="I361" s="6"/>
      <c r="J361" s="11" t="str">
        <f t="shared" si="27"/>
        <v/>
      </c>
      <c r="K361" s="17" t="str">
        <f t="shared" si="28"/>
        <v/>
      </c>
      <c r="L361" s="18" t="str">
        <f t="shared" si="29"/>
        <v/>
      </c>
      <c r="M361" s="18" t="str">
        <f>IF(J361&lt;&gt;-1,"",ROUND(F361*IFERROR(INDEX(Stocuri!$G$5:$G$204,MATCH(D361,Coduri,0)),0),2))</f>
        <v/>
      </c>
      <c r="N361" s="19" t="str">
        <f t="shared" si="30"/>
        <v/>
      </c>
    </row>
    <row r="362" spans="2:14" x14ac:dyDescent="0.2">
      <c r="B362" s="15"/>
      <c r="C362" s="6"/>
      <c r="D362" s="12"/>
      <c r="E362" s="10" t="str">
        <f t="shared" si="26"/>
        <v/>
      </c>
      <c r="F362" s="16"/>
      <c r="G362" s="13"/>
      <c r="H362" s="6"/>
      <c r="I362" s="6"/>
      <c r="J362" s="11" t="str">
        <f t="shared" si="27"/>
        <v/>
      </c>
      <c r="K362" s="17" t="str">
        <f t="shared" si="28"/>
        <v/>
      </c>
      <c r="L362" s="18" t="str">
        <f t="shared" si="29"/>
        <v/>
      </c>
      <c r="M362" s="18" t="str">
        <f>IF(J362&lt;&gt;-1,"",ROUND(F362*IFERROR(INDEX(Stocuri!$G$5:$G$204,MATCH(D362,Coduri,0)),0),2))</f>
        <v/>
      </c>
      <c r="N362" s="19" t="str">
        <f t="shared" si="30"/>
        <v/>
      </c>
    </row>
    <row r="363" spans="2:14" x14ac:dyDescent="0.2">
      <c r="B363" s="15"/>
      <c r="C363" s="6"/>
      <c r="D363" s="12"/>
      <c r="E363" s="10" t="str">
        <f t="shared" si="26"/>
        <v/>
      </c>
      <c r="F363" s="16"/>
      <c r="G363" s="13"/>
      <c r="H363" s="6"/>
      <c r="I363" s="6"/>
      <c r="J363" s="11" t="str">
        <f t="shared" si="27"/>
        <v/>
      </c>
      <c r="K363" s="17" t="str">
        <f t="shared" si="28"/>
        <v/>
      </c>
      <c r="L363" s="18" t="str">
        <f t="shared" si="29"/>
        <v/>
      </c>
      <c r="M363" s="18" t="str">
        <f>IF(J363&lt;&gt;-1,"",ROUND(F363*IFERROR(INDEX(Stocuri!$G$5:$G$204,MATCH(D363,Coduri,0)),0),2))</f>
        <v/>
      </c>
      <c r="N363" s="19" t="str">
        <f t="shared" si="30"/>
        <v/>
      </c>
    </row>
    <row r="364" spans="2:14" x14ac:dyDescent="0.2">
      <c r="B364" s="15"/>
      <c r="C364" s="6"/>
      <c r="D364" s="12"/>
      <c r="E364" s="10" t="str">
        <f t="shared" si="26"/>
        <v/>
      </c>
      <c r="F364" s="16"/>
      <c r="G364" s="13"/>
      <c r="H364" s="6"/>
      <c r="I364" s="6"/>
      <c r="J364" s="11" t="str">
        <f t="shared" si="27"/>
        <v/>
      </c>
      <c r="K364" s="17" t="str">
        <f t="shared" si="28"/>
        <v/>
      </c>
      <c r="L364" s="18" t="str">
        <f t="shared" si="29"/>
        <v/>
      </c>
      <c r="M364" s="18" t="str">
        <f>IF(J364&lt;&gt;-1,"",ROUND(F364*IFERROR(INDEX(Stocuri!$G$5:$G$204,MATCH(D364,Coduri,0)),0),2))</f>
        <v/>
      </c>
      <c r="N364" s="19" t="str">
        <f t="shared" si="30"/>
        <v/>
      </c>
    </row>
    <row r="365" spans="2:14" x14ac:dyDescent="0.2">
      <c r="B365" s="15"/>
      <c r="C365" s="6"/>
      <c r="D365" s="12"/>
      <c r="E365" s="10" t="str">
        <f t="shared" si="26"/>
        <v/>
      </c>
      <c r="F365" s="16"/>
      <c r="G365" s="13"/>
      <c r="H365" s="6"/>
      <c r="I365" s="6"/>
      <c r="J365" s="11" t="str">
        <f t="shared" si="27"/>
        <v/>
      </c>
      <c r="K365" s="17" t="str">
        <f t="shared" si="28"/>
        <v/>
      </c>
      <c r="L365" s="18" t="str">
        <f t="shared" si="29"/>
        <v/>
      </c>
      <c r="M365" s="18" t="str">
        <f>IF(J365&lt;&gt;-1,"",ROUND(F365*IFERROR(INDEX(Stocuri!$G$5:$G$204,MATCH(D365,Coduri,0)),0),2))</f>
        <v/>
      </c>
      <c r="N365" s="19" t="str">
        <f t="shared" si="30"/>
        <v/>
      </c>
    </row>
    <row r="366" spans="2:14" x14ac:dyDescent="0.2">
      <c r="B366" s="15"/>
      <c r="C366" s="6"/>
      <c r="D366" s="12"/>
      <c r="E366" s="10" t="str">
        <f t="shared" si="26"/>
        <v/>
      </c>
      <c r="F366" s="16"/>
      <c r="G366" s="13"/>
      <c r="H366" s="6"/>
      <c r="I366" s="6"/>
      <c r="J366" s="11" t="str">
        <f t="shared" si="27"/>
        <v/>
      </c>
      <c r="K366" s="17" t="str">
        <f t="shared" si="28"/>
        <v/>
      </c>
      <c r="L366" s="18" t="str">
        <f t="shared" si="29"/>
        <v/>
      </c>
      <c r="M366" s="18" t="str">
        <f>IF(J366&lt;&gt;-1,"",ROUND(F366*IFERROR(INDEX(Stocuri!$G$5:$G$204,MATCH(D366,Coduri,0)),0),2))</f>
        <v/>
      </c>
      <c r="N366" s="19" t="str">
        <f t="shared" si="30"/>
        <v/>
      </c>
    </row>
    <row r="367" spans="2:14" x14ac:dyDescent="0.2">
      <c r="B367" s="15"/>
      <c r="C367" s="6"/>
      <c r="D367" s="12"/>
      <c r="E367" s="10" t="str">
        <f t="shared" si="26"/>
        <v/>
      </c>
      <c r="F367" s="16"/>
      <c r="G367" s="13"/>
      <c r="H367" s="6"/>
      <c r="I367" s="6"/>
      <c r="J367" s="11" t="str">
        <f t="shared" si="27"/>
        <v/>
      </c>
      <c r="K367" s="17" t="str">
        <f t="shared" si="28"/>
        <v/>
      </c>
      <c r="L367" s="18" t="str">
        <f t="shared" si="29"/>
        <v/>
      </c>
      <c r="M367" s="18" t="str">
        <f>IF(J367&lt;&gt;-1,"",ROUND(F367*IFERROR(INDEX(Stocuri!$G$5:$G$204,MATCH(D367,Coduri,0)),0),2))</f>
        <v/>
      </c>
      <c r="N367" s="19" t="str">
        <f t="shared" si="30"/>
        <v/>
      </c>
    </row>
    <row r="368" spans="2:14" x14ac:dyDescent="0.2">
      <c r="B368" s="15"/>
      <c r="C368" s="6"/>
      <c r="D368" s="12"/>
      <c r="E368" s="10" t="str">
        <f t="shared" si="26"/>
        <v/>
      </c>
      <c r="F368" s="16"/>
      <c r="G368" s="13"/>
      <c r="H368" s="6"/>
      <c r="I368" s="6"/>
      <c r="J368" s="11" t="str">
        <f t="shared" si="27"/>
        <v/>
      </c>
      <c r="K368" s="17" t="str">
        <f t="shared" si="28"/>
        <v/>
      </c>
      <c r="L368" s="18" t="str">
        <f t="shared" si="29"/>
        <v/>
      </c>
      <c r="M368" s="18" t="str">
        <f>IF(J368&lt;&gt;-1,"",ROUND(F368*IFERROR(INDEX(Stocuri!$G$5:$G$204,MATCH(D368,Coduri,0)),0),2))</f>
        <v/>
      </c>
      <c r="N368" s="19" t="str">
        <f t="shared" si="30"/>
        <v/>
      </c>
    </row>
    <row r="369" spans="2:14" x14ac:dyDescent="0.2">
      <c r="B369" s="15"/>
      <c r="C369" s="6"/>
      <c r="D369" s="12"/>
      <c r="E369" s="10" t="str">
        <f t="shared" si="26"/>
        <v/>
      </c>
      <c r="F369" s="16"/>
      <c r="G369" s="13"/>
      <c r="H369" s="6"/>
      <c r="I369" s="6"/>
      <c r="J369" s="11" t="str">
        <f t="shared" si="27"/>
        <v/>
      </c>
      <c r="K369" s="17" t="str">
        <f t="shared" si="28"/>
        <v/>
      </c>
      <c r="L369" s="18" t="str">
        <f t="shared" si="29"/>
        <v/>
      </c>
      <c r="M369" s="18" t="str">
        <f>IF(J369&lt;&gt;-1,"",ROUND(F369*IFERROR(INDEX(Stocuri!$G$5:$G$204,MATCH(D369,Coduri,0)),0),2))</f>
        <v/>
      </c>
      <c r="N369" s="19" t="str">
        <f t="shared" si="30"/>
        <v/>
      </c>
    </row>
    <row r="370" spans="2:14" x14ac:dyDescent="0.2">
      <c r="B370" s="15"/>
      <c r="C370" s="6"/>
      <c r="D370" s="12"/>
      <c r="E370" s="10" t="str">
        <f t="shared" si="26"/>
        <v/>
      </c>
      <c r="F370" s="16"/>
      <c r="G370" s="13"/>
      <c r="H370" s="6"/>
      <c r="I370" s="6"/>
      <c r="J370" s="11" t="str">
        <f t="shared" si="27"/>
        <v/>
      </c>
      <c r="K370" s="17" t="str">
        <f t="shared" si="28"/>
        <v/>
      </c>
      <c r="L370" s="18" t="str">
        <f t="shared" si="29"/>
        <v/>
      </c>
      <c r="M370" s="18" t="str">
        <f>IF(J370&lt;&gt;-1,"",ROUND(F370*IFERROR(INDEX(Stocuri!$G$5:$G$204,MATCH(D370,Coduri,0)),0),2))</f>
        <v/>
      </c>
      <c r="N370" s="19" t="str">
        <f t="shared" si="30"/>
        <v/>
      </c>
    </row>
    <row r="371" spans="2:14" x14ac:dyDescent="0.2">
      <c r="B371" s="15"/>
      <c r="C371" s="6"/>
      <c r="D371" s="12"/>
      <c r="E371" s="10" t="str">
        <f t="shared" si="26"/>
        <v/>
      </c>
      <c r="F371" s="16"/>
      <c r="G371" s="13"/>
      <c r="H371" s="6"/>
      <c r="I371" s="6"/>
      <c r="J371" s="11" t="str">
        <f t="shared" si="27"/>
        <v/>
      </c>
      <c r="K371" s="17" t="str">
        <f t="shared" si="28"/>
        <v/>
      </c>
      <c r="L371" s="18" t="str">
        <f t="shared" si="29"/>
        <v/>
      </c>
      <c r="M371" s="18" t="str">
        <f>IF(J371&lt;&gt;-1,"",ROUND(F371*IFERROR(INDEX(Stocuri!$G$5:$G$204,MATCH(D371,Coduri,0)),0),2))</f>
        <v/>
      </c>
      <c r="N371" s="19" t="str">
        <f t="shared" si="30"/>
        <v/>
      </c>
    </row>
    <row r="372" spans="2:14" x14ac:dyDescent="0.2">
      <c r="B372" s="15"/>
      <c r="C372" s="6"/>
      <c r="D372" s="12"/>
      <c r="E372" s="10" t="str">
        <f t="shared" si="26"/>
        <v/>
      </c>
      <c r="F372" s="16"/>
      <c r="G372" s="13"/>
      <c r="H372" s="6"/>
      <c r="I372" s="6"/>
      <c r="J372" s="11" t="str">
        <f t="shared" si="27"/>
        <v/>
      </c>
      <c r="K372" s="17" t="str">
        <f t="shared" si="28"/>
        <v/>
      </c>
      <c r="L372" s="18" t="str">
        <f t="shared" si="29"/>
        <v/>
      </c>
      <c r="M372" s="18" t="str">
        <f>IF(J372&lt;&gt;-1,"",ROUND(F372*IFERROR(INDEX(Stocuri!$G$5:$G$204,MATCH(D372,Coduri,0)),0),2))</f>
        <v/>
      </c>
      <c r="N372" s="19" t="str">
        <f t="shared" si="30"/>
        <v/>
      </c>
    </row>
    <row r="373" spans="2:14" x14ac:dyDescent="0.2">
      <c r="B373" s="15"/>
      <c r="C373" s="6"/>
      <c r="D373" s="12"/>
      <c r="E373" s="10" t="str">
        <f t="shared" si="26"/>
        <v/>
      </c>
      <c r="F373" s="16"/>
      <c r="G373" s="13"/>
      <c r="H373" s="6"/>
      <c r="I373" s="6"/>
      <c r="J373" s="11" t="str">
        <f t="shared" si="27"/>
        <v/>
      </c>
      <c r="K373" s="17" t="str">
        <f t="shared" si="28"/>
        <v/>
      </c>
      <c r="L373" s="18" t="str">
        <f t="shared" si="29"/>
        <v/>
      </c>
      <c r="M373" s="18" t="str">
        <f>IF(J373&lt;&gt;-1,"",ROUND(F373*IFERROR(INDEX(Stocuri!$G$5:$G$204,MATCH(D373,Coduri,0)),0),2))</f>
        <v/>
      </c>
      <c r="N373" s="19" t="str">
        <f t="shared" si="30"/>
        <v/>
      </c>
    </row>
    <row r="374" spans="2:14" x14ac:dyDescent="0.2">
      <c r="B374" s="15"/>
      <c r="C374" s="6"/>
      <c r="D374" s="12"/>
      <c r="E374" s="10" t="str">
        <f t="shared" si="26"/>
        <v/>
      </c>
      <c r="F374" s="16"/>
      <c r="G374" s="13"/>
      <c r="H374" s="6"/>
      <c r="I374" s="6"/>
      <c r="J374" s="11" t="str">
        <f t="shared" si="27"/>
        <v/>
      </c>
      <c r="K374" s="17" t="str">
        <f t="shared" si="28"/>
        <v/>
      </c>
      <c r="L374" s="18" t="str">
        <f t="shared" si="29"/>
        <v/>
      </c>
      <c r="M374" s="18" t="str">
        <f>IF(J374&lt;&gt;-1,"",ROUND(F374*IFERROR(INDEX(Stocuri!$G$5:$G$204,MATCH(D374,Coduri,0)),0),2))</f>
        <v/>
      </c>
      <c r="N374" s="19" t="str">
        <f t="shared" si="30"/>
        <v/>
      </c>
    </row>
    <row r="375" spans="2:14" x14ac:dyDescent="0.2">
      <c r="B375" s="15"/>
      <c r="C375" s="6"/>
      <c r="D375" s="12"/>
      <c r="E375" s="10" t="str">
        <f t="shared" si="26"/>
        <v/>
      </c>
      <c r="F375" s="16"/>
      <c r="G375" s="13"/>
      <c r="H375" s="6"/>
      <c r="I375" s="6"/>
      <c r="J375" s="11" t="str">
        <f t="shared" si="27"/>
        <v/>
      </c>
      <c r="K375" s="17" t="str">
        <f t="shared" si="28"/>
        <v/>
      </c>
      <c r="L375" s="18" t="str">
        <f t="shared" si="29"/>
        <v/>
      </c>
      <c r="M375" s="18" t="str">
        <f>IF(J375&lt;&gt;-1,"",ROUND(F375*IFERROR(INDEX(Stocuri!$G$5:$G$204,MATCH(D375,Coduri,0)),0),2))</f>
        <v/>
      </c>
      <c r="N375" s="19" t="str">
        <f t="shared" si="30"/>
        <v/>
      </c>
    </row>
    <row r="376" spans="2:14" x14ac:dyDescent="0.2">
      <c r="B376" s="15"/>
      <c r="C376" s="6"/>
      <c r="D376" s="12"/>
      <c r="E376" s="10" t="str">
        <f t="shared" si="26"/>
        <v/>
      </c>
      <c r="F376" s="16"/>
      <c r="G376" s="13"/>
      <c r="H376" s="6"/>
      <c r="I376" s="6"/>
      <c r="J376" s="11" t="str">
        <f t="shared" si="27"/>
        <v/>
      </c>
      <c r="K376" s="17" t="str">
        <f t="shared" si="28"/>
        <v/>
      </c>
      <c r="L376" s="18" t="str">
        <f t="shared" si="29"/>
        <v/>
      </c>
      <c r="M376" s="18" t="str">
        <f>IF(J376&lt;&gt;-1,"",ROUND(F376*IFERROR(INDEX(Stocuri!$G$5:$G$204,MATCH(D376,Coduri,0)),0),2))</f>
        <v/>
      </c>
      <c r="N376" s="19" t="str">
        <f t="shared" si="30"/>
        <v/>
      </c>
    </row>
    <row r="377" spans="2:14" x14ac:dyDescent="0.2">
      <c r="B377" s="15"/>
      <c r="C377" s="6"/>
      <c r="D377" s="12"/>
      <c r="E377" s="10" t="str">
        <f t="shared" si="26"/>
        <v/>
      </c>
      <c r="F377" s="16"/>
      <c r="G377" s="13"/>
      <c r="H377" s="6"/>
      <c r="I377" s="6"/>
      <c r="J377" s="11" t="str">
        <f t="shared" si="27"/>
        <v/>
      </c>
      <c r="K377" s="17" t="str">
        <f t="shared" si="28"/>
        <v/>
      </c>
      <c r="L377" s="18" t="str">
        <f t="shared" si="29"/>
        <v/>
      </c>
      <c r="M377" s="18" t="str">
        <f>IF(J377&lt;&gt;-1,"",ROUND(F377*IFERROR(INDEX(Stocuri!$G$5:$G$204,MATCH(D377,Coduri,0)),0),2))</f>
        <v/>
      </c>
      <c r="N377" s="19" t="str">
        <f t="shared" si="30"/>
        <v/>
      </c>
    </row>
    <row r="378" spans="2:14" x14ac:dyDescent="0.2">
      <c r="B378" s="15"/>
      <c r="C378" s="6"/>
      <c r="D378" s="12"/>
      <c r="E378" s="10" t="str">
        <f t="shared" si="26"/>
        <v/>
      </c>
      <c r="F378" s="16"/>
      <c r="G378" s="13"/>
      <c r="H378" s="6"/>
      <c r="I378" s="6"/>
      <c r="J378" s="11" t="str">
        <f t="shared" si="27"/>
        <v/>
      </c>
      <c r="K378" s="17" t="str">
        <f t="shared" si="28"/>
        <v/>
      </c>
      <c r="L378" s="18" t="str">
        <f t="shared" si="29"/>
        <v/>
      </c>
      <c r="M378" s="18" t="str">
        <f>IF(J378&lt;&gt;-1,"",ROUND(F378*IFERROR(INDEX(Stocuri!$G$5:$G$204,MATCH(D378,Coduri,0)),0),2))</f>
        <v/>
      </c>
      <c r="N378" s="19" t="str">
        <f t="shared" si="30"/>
        <v/>
      </c>
    </row>
    <row r="379" spans="2:14" x14ac:dyDescent="0.2">
      <c r="B379" s="15"/>
      <c r="C379" s="6"/>
      <c r="D379" s="12"/>
      <c r="E379" s="10" t="str">
        <f t="shared" si="26"/>
        <v/>
      </c>
      <c r="F379" s="16"/>
      <c r="G379" s="13"/>
      <c r="H379" s="6"/>
      <c r="I379" s="6"/>
      <c r="J379" s="11" t="str">
        <f t="shared" si="27"/>
        <v/>
      </c>
      <c r="K379" s="17" t="str">
        <f t="shared" si="28"/>
        <v/>
      </c>
      <c r="L379" s="18" t="str">
        <f t="shared" si="29"/>
        <v/>
      </c>
      <c r="M379" s="18" t="str">
        <f>IF(J379&lt;&gt;-1,"",ROUND(F379*IFERROR(INDEX(Stocuri!$G$5:$G$204,MATCH(D379,Coduri,0)),0),2))</f>
        <v/>
      </c>
      <c r="N379" s="19" t="str">
        <f t="shared" si="30"/>
        <v/>
      </c>
    </row>
    <row r="380" spans="2:14" x14ac:dyDescent="0.2">
      <c r="B380" s="15"/>
      <c r="C380" s="6"/>
      <c r="D380" s="12"/>
      <c r="E380" s="10" t="str">
        <f t="shared" si="26"/>
        <v/>
      </c>
      <c r="F380" s="16"/>
      <c r="G380" s="13"/>
      <c r="H380" s="6"/>
      <c r="I380" s="6"/>
      <c r="J380" s="11" t="str">
        <f t="shared" si="27"/>
        <v/>
      </c>
      <c r="K380" s="17" t="str">
        <f t="shared" si="28"/>
        <v/>
      </c>
      <c r="L380" s="18" t="str">
        <f t="shared" si="29"/>
        <v/>
      </c>
      <c r="M380" s="18" t="str">
        <f>IF(J380&lt;&gt;-1,"",ROUND(F380*IFERROR(INDEX(Stocuri!$G$5:$G$204,MATCH(D380,Coduri,0)),0),2))</f>
        <v/>
      </c>
      <c r="N380" s="19" t="str">
        <f t="shared" si="30"/>
        <v/>
      </c>
    </row>
    <row r="381" spans="2:14" x14ac:dyDescent="0.2">
      <c r="B381" s="15"/>
      <c r="C381" s="6"/>
      <c r="D381" s="12"/>
      <c r="E381" s="10" t="str">
        <f t="shared" si="26"/>
        <v/>
      </c>
      <c r="F381" s="16"/>
      <c r="G381" s="13"/>
      <c r="H381" s="6"/>
      <c r="I381" s="6"/>
      <c r="J381" s="11" t="str">
        <f t="shared" si="27"/>
        <v/>
      </c>
      <c r="K381" s="17" t="str">
        <f t="shared" si="28"/>
        <v/>
      </c>
      <c r="L381" s="18" t="str">
        <f t="shared" si="29"/>
        <v/>
      </c>
      <c r="M381" s="18" t="str">
        <f>IF(J381&lt;&gt;-1,"",ROUND(F381*IFERROR(INDEX(Stocuri!$G$5:$G$204,MATCH(D381,Coduri,0)),0),2))</f>
        <v/>
      </c>
      <c r="N381" s="19" t="str">
        <f t="shared" si="30"/>
        <v/>
      </c>
    </row>
    <row r="382" spans="2:14" x14ac:dyDescent="0.2">
      <c r="B382" s="15"/>
      <c r="C382" s="6"/>
      <c r="D382" s="12"/>
      <c r="E382" s="10" t="str">
        <f t="shared" si="26"/>
        <v/>
      </c>
      <c r="F382" s="16"/>
      <c r="G382" s="13"/>
      <c r="H382" s="6"/>
      <c r="I382" s="6"/>
      <c r="J382" s="11" t="str">
        <f t="shared" si="27"/>
        <v/>
      </c>
      <c r="K382" s="17" t="str">
        <f t="shared" si="28"/>
        <v/>
      </c>
      <c r="L382" s="18" t="str">
        <f t="shared" si="29"/>
        <v/>
      </c>
      <c r="M382" s="18" t="str">
        <f>IF(J382&lt;&gt;-1,"",ROUND(F382*IFERROR(INDEX(Stocuri!$G$5:$G$204,MATCH(D382,Coduri,0)),0),2))</f>
        <v/>
      </c>
      <c r="N382" s="19" t="str">
        <f t="shared" si="30"/>
        <v/>
      </c>
    </row>
    <row r="383" spans="2:14" x14ac:dyDescent="0.2">
      <c r="B383" s="15"/>
      <c r="C383" s="6"/>
      <c r="D383" s="12"/>
      <c r="E383" s="10" t="str">
        <f t="shared" si="26"/>
        <v/>
      </c>
      <c r="F383" s="16"/>
      <c r="G383" s="13"/>
      <c r="H383" s="6"/>
      <c r="I383" s="6"/>
      <c r="J383" s="11" t="str">
        <f t="shared" si="27"/>
        <v/>
      </c>
      <c r="K383" s="17" t="str">
        <f t="shared" si="28"/>
        <v/>
      </c>
      <c r="L383" s="18" t="str">
        <f t="shared" si="29"/>
        <v/>
      </c>
      <c r="M383" s="18" t="str">
        <f>IF(J383&lt;&gt;-1,"",ROUND(F383*IFERROR(INDEX(Stocuri!$G$5:$G$204,MATCH(D383,Coduri,0)),0),2))</f>
        <v/>
      </c>
      <c r="N383" s="19" t="str">
        <f t="shared" si="30"/>
        <v/>
      </c>
    </row>
    <row r="384" spans="2:14" x14ac:dyDescent="0.2">
      <c r="B384" s="15"/>
      <c r="C384" s="6"/>
      <c r="D384" s="12"/>
      <c r="E384" s="10" t="str">
        <f t="shared" si="26"/>
        <v/>
      </c>
      <c r="F384" s="16"/>
      <c r="G384" s="13"/>
      <c r="H384" s="6"/>
      <c r="I384" s="6"/>
      <c r="J384" s="11" t="str">
        <f t="shared" si="27"/>
        <v/>
      </c>
      <c r="K384" s="17" t="str">
        <f t="shared" si="28"/>
        <v/>
      </c>
      <c r="L384" s="18" t="str">
        <f t="shared" si="29"/>
        <v/>
      </c>
      <c r="M384" s="18" t="str">
        <f>IF(J384&lt;&gt;-1,"",ROUND(F384*IFERROR(INDEX(Stocuri!$G$5:$G$204,MATCH(D384,Coduri,0)),0),2))</f>
        <v/>
      </c>
      <c r="N384" s="19" t="str">
        <f t="shared" si="30"/>
        <v/>
      </c>
    </row>
    <row r="385" spans="2:14" x14ac:dyDescent="0.2">
      <c r="B385" s="15"/>
      <c r="C385" s="6"/>
      <c r="D385" s="12"/>
      <c r="E385" s="10" t="str">
        <f t="shared" si="26"/>
        <v/>
      </c>
      <c r="F385" s="16"/>
      <c r="G385" s="13"/>
      <c r="H385" s="6"/>
      <c r="I385" s="6"/>
      <c r="J385" s="11" t="str">
        <f t="shared" si="27"/>
        <v/>
      </c>
      <c r="K385" s="17" t="str">
        <f t="shared" si="28"/>
        <v/>
      </c>
      <c r="L385" s="18" t="str">
        <f t="shared" si="29"/>
        <v/>
      </c>
      <c r="M385" s="18" t="str">
        <f>IF(J385&lt;&gt;-1,"",ROUND(F385*IFERROR(INDEX(Stocuri!$G$5:$G$204,MATCH(D385,Coduri,0)),0),2))</f>
        <v/>
      </c>
      <c r="N385" s="19" t="str">
        <f t="shared" si="30"/>
        <v/>
      </c>
    </row>
    <row r="386" spans="2:14" x14ac:dyDescent="0.2">
      <c r="B386" s="15"/>
      <c r="C386" s="6"/>
      <c r="D386" s="12"/>
      <c r="E386" s="10" t="str">
        <f t="shared" si="26"/>
        <v/>
      </c>
      <c r="F386" s="16"/>
      <c r="G386" s="13"/>
      <c r="H386" s="6"/>
      <c r="I386" s="6"/>
      <c r="J386" s="11" t="str">
        <f t="shared" si="27"/>
        <v/>
      </c>
      <c r="K386" s="17" t="str">
        <f t="shared" si="28"/>
        <v/>
      </c>
      <c r="L386" s="18" t="str">
        <f t="shared" si="29"/>
        <v/>
      </c>
      <c r="M386" s="18" t="str">
        <f>IF(J386&lt;&gt;-1,"",ROUND(F386*IFERROR(INDEX(Stocuri!$G$5:$G$204,MATCH(D386,Coduri,0)),0),2))</f>
        <v/>
      </c>
      <c r="N386" s="19" t="str">
        <f t="shared" si="30"/>
        <v/>
      </c>
    </row>
    <row r="387" spans="2:14" x14ac:dyDescent="0.2">
      <c r="B387" s="15"/>
      <c r="C387" s="6"/>
      <c r="D387" s="12"/>
      <c r="E387" s="10" t="str">
        <f t="shared" si="26"/>
        <v/>
      </c>
      <c r="F387" s="16"/>
      <c r="G387" s="13"/>
      <c r="H387" s="6"/>
      <c r="I387" s="6"/>
      <c r="J387" s="11" t="str">
        <f t="shared" si="27"/>
        <v/>
      </c>
      <c r="K387" s="17" t="str">
        <f t="shared" si="28"/>
        <v/>
      </c>
      <c r="L387" s="18" t="str">
        <f t="shared" si="29"/>
        <v/>
      </c>
      <c r="M387" s="18" t="str">
        <f>IF(J387&lt;&gt;-1,"",ROUND(F387*IFERROR(INDEX(Stocuri!$G$5:$G$204,MATCH(D387,Coduri,0)),0),2))</f>
        <v/>
      </c>
      <c r="N387" s="19" t="str">
        <f t="shared" si="30"/>
        <v/>
      </c>
    </row>
    <row r="388" spans="2:14" x14ac:dyDescent="0.2">
      <c r="B388" s="15"/>
      <c r="C388" s="6"/>
      <c r="D388" s="12"/>
      <c r="E388" s="10" t="str">
        <f t="shared" si="26"/>
        <v/>
      </c>
      <c r="F388" s="16"/>
      <c r="G388" s="13"/>
      <c r="H388" s="6"/>
      <c r="I388" s="6"/>
      <c r="J388" s="11" t="str">
        <f t="shared" si="27"/>
        <v/>
      </c>
      <c r="K388" s="17" t="str">
        <f t="shared" si="28"/>
        <v/>
      </c>
      <c r="L388" s="18" t="str">
        <f t="shared" si="29"/>
        <v/>
      </c>
      <c r="M388" s="18" t="str">
        <f>IF(J388&lt;&gt;-1,"",ROUND(F388*IFERROR(INDEX(Stocuri!$G$5:$G$204,MATCH(D388,Coduri,0)),0),2))</f>
        <v/>
      </c>
      <c r="N388" s="19" t="str">
        <f t="shared" si="30"/>
        <v/>
      </c>
    </row>
    <row r="389" spans="2:14" x14ac:dyDescent="0.2">
      <c r="B389" s="15"/>
      <c r="C389" s="6"/>
      <c r="D389" s="12"/>
      <c r="E389" s="10" t="str">
        <f t="shared" ref="E389:E452" si="31">IF(D389="","",IFERROR(VLOOKUP(D389,Catalog,2,FALSE),""))</f>
        <v/>
      </c>
      <c r="F389" s="16"/>
      <c r="G389" s="13"/>
      <c r="H389" s="6"/>
      <c r="I389" s="6"/>
      <c r="J389" s="11" t="str">
        <f t="shared" ref="J389:J452" si="32">IF(C389="","",IFERROR(VLOOKUP(C389,TipSemn,2,FALSE),""))</f>
        <v/>
      </c>
      <c r="K389" s="17" t="str">
        <f t="shared" ref="K389:K452" si="33">IF(OR(J389="",F389=""),"",J389*F389)</f>
        <v/>
      </c>
      <c r="L389" s="18" t="str">
        <f t="shared" ref="L389:L452" si="34">IF(OR(J389&lt;&gt;1,G389=""),"",ROUND(F389*G389,2))</f>
        <v/>
      </c>
      <c r="M389" s="18" t="str">
        <f>IF(J389&lt;&gt;-1,"",ROUND(F389*IFERROR(INDEX(Stocuri!$G$5:$G$204,MATCH(D389,Coduri,0)),0),2))</f>
        <v/>
      </c>
      <c r="N389" s="19" t="str">
        <f t="shared" ref="N389:N452" si="35">IF(AND(B389="",D389=""),"",TRIM(IF(OR(B389="",C389="",D389="",F389=""),"Date incomplete. ","")&amp;IF(AND(D389&lt;&gt;"",E389=""),"Cod necunoscut. ","")&amp;IF(AND(J389=1,C389&lt;&gt;"Retur de la client",C389&lt;&gt;"Ajustare inventar +",G389=""),"Lipsește prețul de intrare. ","")&amp;IF(AND(J389=-1,D389&lt;&gt;"",SUMIFS($K$5:$K$2004,$D$5:$D$2004,D389,$B$5:$B$2004,"&lt;="&amp;B389)&lt;0),"Stoc insuficient la această dată. ","")&amp;IF(AND(C389&lt;&gt;"Stoc inițial",H389=""),"Lipsește documentul. ","")))</f>
        <v/>
      </c>
    </row>
    <row r="390" spans="2:14" x14ac:dyDescent="0.2">
      <c r="B390" s="15"/>
      <c r="C390" s="6"/>
      <c r="D390" s="12"/>
      <c r="E390" s="10" t="str">
        <f t="shared" si="31"/>
        <v/>
      </c>
      <c r="F390" s="16"/>
      <c r="G390" s="13"/>
      <c r="H390" s="6"/>
      <c r="I390" s="6"/>
      <c r="J390" s="11" t="str">
        <f t="shared" si="32"/>
        <v/>
      </c>
      <c r="K390" s="17" t="str">
        <f t="shared" si="33"/>
        <v/>
      </c>
      <c r="L390" s="18" t="str">
        <f t="shared" si="34"/>
        <v/>
      </c>
      <c r="M390" s="18" t="str">
        <f>IF(J390&lt;&gt;-1,"",ROUND(F390*IFERROR(INDEX(Stocuri!$G$5:$G$204,MATCH(D390,Coduri,0)),0),2))</f>
        <v/>
      </c>
      <c r="N390" s="19" t="str">
        <f t="shared" si="35"/>
        <v/>
      </c>
    </row>
    <row r="391" spans="2:14" x14ac:dyDescent="0.2">
      <c r="B391" s="15"/>
      <c r="C391" s="6"/>
      <c r="D391" s="12"/>
      <c r="E391" s="10" t="str">
        <f t="shared" si="31"/>
        <v/>
      </c>
      <c r="F391" s="16"/>
      <c r="G391" s="13"/>
      <c r="H391" s="6"/>
      <c r="I391" s="6"/>
      <c r="J391" s="11" t="str">
        <f t="shared" si="32"/>
        <v/>
      </c>
      <c r="K391" s="17" t="str">
        <f t="shared" si="33"/>
        <v/>
      </c>
      <c r="L391" s="18" t="str">
        <f t="shared" si="34"/>
        <v/>
      </c>
      <c r="M391" s="18" t="str">
        <f>IF(J391&lt;&gt;-1,"",ROUND(F391*IFERROR(INDEX(Stocuri!$G$5:$G$204,MATCH(D391,Coduri,0)),0),2))</f>
        <v/>
      </c>
      <c r="N391" s="19" t="str">
        <f t="shared" si="35"/>
        <v/>
      </c>
    </row>
    <row r="392" spans="2:14" x14ac:dyDescent="0.2">
      <c r="B392" s="15"/>
      <c r="C392" s="6"/>
      <c r="D392" s="12"/>
      <c r="E392" s="10" t="str">
        <f t="shared" si="31"/>
        <v/>
      </c>
      <c r="F392" s="16"/>
      <c r="G392" s="13"/>
      <c r="H392" s="6"/>
      <c r="I392" s="6"/>
      <c r="J392" s="11" t="str">
        <f t="shared" si="32"/>
        <v/>
      </c>
      <c r="K392" s="17" t="str">
        <f t="shared" si="33"/>
        <v/>
      </c>
      <c r="L392" s="18" t="str">
        <f t="shared" si="34"/>
        <v/>
      </c>
      <c r="M392" s="18" t="str">
        <f>IF(J392&lt;&gt;-1,"",ROUND(F392*IFERROR(INDEX(Stocuri!$G$5:$G$204,MATCH(D392,Coduri,0)),0),2))</f>
        <v/>
      </c>
      <c r="N392" s="19" t="str">
        <f t="shared" si="35"/>
        <v/>
      </c>
    </row>
    <row r="393" spans="2:14" x14ac:dyDescent="0.2">
      <c r="B393" s="15"/>
      <c r="C393" s="6"/>
      <c r="D393" s="12"/>
      <c r="E393" s="10" t="str">
        <f t="shared" si="31"/>
        <v/>
      </c>
      <c r="F393" s="16"/>
      <c r="G393" s="13"/>
      <c r="H393" s="6"/>
      <c r="I393" s="6"/>
      <c r="J393" s="11" t="str">
        <f t="shared" si="32"/>
        <v/>
      </c>
      <c r="K393" s="17" t="str">
        <f t="shared" si="33"/>
        <v/>
      </c>
      <c r="L393" s="18" t="str">
        <f t="shared" si="34"/>
        <v/>
      </c>
      <c r="M393" s="18" t="str">
        <f>IF(J393&lt;&gt;-1,"",ROUND(F393*IFERROR(INDEX(Stocuri!$G$5:$G$204,MATCH(D393,Coduri,0)),0),2))</f>
        <v/>
      </c>
      <c r="N393" s="19" t="str">
        <f t="shared" si="35"/>
        <v/>
      </c>
    </row>
    <row r="394" spans="2:14" x14ac:dyDescent="0.2">
      <c r="B394" s="15"/>
      <c r="C394" s="6"/>
      <c r="D394" s="12"/>
      <c r="E394" s="10" t="str">
        <f t="shared" si="31"/>
        <v/>
      </c>
      <c r="F394" s="16"/>
      <c r="G394" s="13"/>
      <c r="H394" s="6"/>
      <c r="I394" s="6"/>
      <c r="J394" s="11" t="str">
        <f t="shared" si="32"/>
        <v/>
      </c>
      <c r="K394" s="17" t="str">
        <f t="shared" si="33"/>
        <v/>
      </c>
      <c r="L394" s="18" t="str">
        <f t="shared" si="34"/>
        <v/>
      </c>
      <c r="M394" s="18" t="str">
        <f>IF(J394&lt;&gt;-1,"",ROUND(F394*IFERROR(INDEX(Stocuri!$G$5:$G$204,MATCH(D394,Coduri,0)),0),2))</f>
        <v/>
      </c>
      <c r="N394" s="19" t="str">
        <f t="shared" si="35"/>
        <v/>
      </c>
    </row>
    <row r="395" spans="2:14" x14ac:dyDescent="0.2">
      <c r="B395" s="15"/>
      <c r="C395" s="6"/>
      <c r="D395" s="12"/>
      <c r="E395" s="10" t="str">
        <f t="shared" si="31"/>
        <v/>
      </c>
      <c r="F395" s="16"/>
      <c r="G395" s="13"/>
      <c r="H395" s="6"/>
      <c r="I395" s="6"/>
      <c r="J395" s="11" t="str">
        <f t="shared" si="32"/>
        <v/>
      </c>
      <c r="K395" s="17" t="str">
        <f t="shared" si="33"/>
        <v/>
      </c>
      <c r="L395" s="18" t="str">
        <f t="shared" si="34"/>
        <v/>
      </c>
      <c r="M395" s="18" t="str">
        <f>IF(J395&lt;&gt;-1,"",ROUND(F395*IFERROR(INDEX(Stocuri!$G$5:$G$204,MATCH(D395,Coduri,0)),0),2))</f>
        <v/>
      </c>
      <c r="N395" s="19" t="str">
        <f t="shared" si="35"/>
        <v/>
      </c>
    </row>
    <row r="396" spans="2:14" x14ac:dyDescent="0.2">
      <c r="B396" s="15"/>
      <c r="C396" s="6"/>
      <c r="D396" s="12"/>
      <c r="E396" s="10" t="str">
        <f t="shared" si="31"/>
        <v/>
      </c>
      <c r="F396" s="16"/>
      <c r="G396" s="13"/>
      <c r="H396" s="6"/>
      <c r="I396" s="6"/>
      <c r="J396" s="11" t="str">
        <f t="shared" si="32"/>
        <v/>
      </c>
      <c r="K396" s="17" t="str">
        <f t="shared" si="33"/>
        <v/>
      </c>
      <c r="L396" s="18" t="str">
        <f t="shared" si="34"/>
        <v/>
      </c>
      <c r="M396" s="18" t="str">
        <f>IF(J396&lt;&gt;-1,"",ROUND(F396*IFERROR(INDEX(Stocuri!$G$5:$G$204,MATCH(D396,Coduri,0)),0),2))</f>
        <v/>
      </c>
      <c r="N396" s="19" t="str">
        <f t="shared" si="35"/>
        <v/>
      </c>
    </row>
    <row r="397" spans="2:14" x14ac:dyDescent="0.2">
      <c r="B397" s="15"/>
      <c r="C397" s="6"/>
      <c r="D397" s="12"/>
      <c r="E397" s="10" t="str">
        <f t="shared" si="31"/>
        <v/>
      </c>
      <c r="F397" s="16"/>
      <c r="G397" s="13"/>
      <c r="H397" s="6"/>
      <c r="I397" s="6"/>
      <c r="J397" s="11" t="str">
        <f t="shared" si="32"/>
        <v/>
      </c>
      <c r="K397" s="17" t="str">
        <f t="shared" si="33"/>
        <v/>
      </c>
      <c r="L397" s="18" t="str">
        <f t="shared" si="34"/>
        <v/>
      </c>
      <c r="M397" s="18" t="str">
        <f>IF(J397&lt;&gt;-1,"",ROUND(F397*IFERROR(INDEX(Stocuri!$G$5:$G$204,MATCH(D397,Coduri,0)),0),2))</f>
        <v/>
      </c>
      <c r="N397" s="19" t="str">
        <f t="shared" si="35"/>
        <v/>
      </c>
    </row>
    <row r="398" spans="2:14" x14ac:dyDescent="0.2">
      <c r="B398" s="15"/>
      <c r="C398" s="6"/>
      <c r="D398" s="12"/>
      <c r="E398" s="10" t="str">
        <f t="shared" si="31"/>
        <v/>
      </c>
      <c r="F398" s="16"/>
      <c r="G398" s="13"/>
      <c r="H398" s="6"/>
      <c r="I398" s="6"/>
      <c r="J398" s="11" t="str">
        <f t="shared" si="32"/>
        <v/>
      </c>
      <c r="K398" s="17" t="str">
        <f t="shared" si="33"/>
        <v/>
      </c>
      <c r="L398" s="18" t="str">
        <f t="shared" si="34"/>
        <v/>
      </c>
      <c r="M398" s="18" t="str">
        <f>IF(J398&lt;&gt;-1,"",ROUND(F398*IFERROR(INDEX(Stocuri!$G$5:$G$204,MATCH(D398,Coduri,0)),0),2))</f>
        <v/>
      </c>
      <c r="N398" s="19" t="str">
        <f t="shared" si="35"/>
        <v/>
      </c>
    </row>
    <row r="399" spans="2:14" x14ac:dyDescent="0.2">
      <c r="B399" s="15"/>
      <c r="C399" s="6"/>
      <c r="D399" s="12"/>
      <c r="E399" s="10" t="str">
        <f t="shared" si="31"/>
        <v/>
      </c>
      <c r="F399" s="16"/>
      <c r="G399" s="13"/>
      <c r="H399" s="6"/>
      <c r="I399" s="6"/>
      <c r="J399" s="11" t="str">
        <f t="shared" si="32"/>
        <v/>
      </c>
      <c r="K399" s="17" t="str">
        <f t="shared" si="33"/>
        <v/>
      </c>
      <c r="L399" s="18" t="str">
        <f t="shared" si="34"/>
        <v/>
      </c>
      <c r="M399" s="18" t="str">
        <f>IF(J399&lt;&gt;-1,"",ROUND(F399*IFERROR(INDEX(Stocuri!$G$5:$G$204,MATCH(D399,Coduri,0)),0),2))</f>
        <v/>
      </c>
      <c r="N399" s="19" t="str">
        <f t="shared" si="35"/>
        <v/>
      </c>
    </row>
    <row r="400" spans="2:14" x14ac:dyDescent="0.2">
      <c r="B400" s="15"/>
      <c r="C400" s="6"/>
      <c r="D400" s="12"/>
      <c r="E400" s="10" t="str">
        <f t="shared" si="31"/>
        <v/>
      </c>
      <c r="F400" s="16"/>
      <c r="G400" s="13"/>
      <c r="H400" s="6"/>
      <c r="I400" s="6"/>
      <c r="J400" s="11" t="str">
        <f t="shared" si="32"/>
        <v/>
      </c>
      <c r="K400" s="17" t="str">
        <f t="shared" si="33"/>
        <v/>
      </c>
      <c r="L400" s="18" t="str">
        <f t="shared" si="34"/>
        <v/>
      </c>
      <c r="M400" s="18" t="str">
        <f>IF(J400&lt;&gt;-1,"",ROUND(F400*IFERROR(INDEX(Stocuri!$G$5:$G$204,MATCH(D400,Coduri,0)),0),2))</f>
        <v/>
      </c>
      <c r="N400" s="19" t="str">
        <f t="shared" si="35"/>
        <v/>
      </c>
    </row>
    <row r="401" spans="2:14" x14ac:dyDescent="0.2">
      <c r="B401" s="15"/>
      <c r="C401" s="6"/>
      <c r="D401" s="12"/>
      <c r="E401" s="10" t="str">
        <f t="shared" si="31"/>
        <v/>
      </c>
      <c r="F401" s="16"/>
      <c r="G401" s="13"/>
      <c r="H401" s="6"/>
      <c r="I401" s="6"/>
      <c r="J401" s="11" t="str">
        <f t="shared" si="32"/>
        <v/>
      </c>
      <c r="K401" s="17" t="str">
        <f t="shared" si="33"/>
        <v/>
      </c>
      <c r="L401" s="18" t="str">
        <f t="shared" si="34"/>
        <v/>
      </c>
      <c r="M401" s="18" t="str">
        <f>IF(J401&lt;&gt;-1,"",ROUND(F401*IFERROR(INDEX(Stocuri!$G$5:$G$204,MATCH(D401,Coduri,0)),0),2))</f>
        <v/>
      </c>
      <c r="N401" s="19" t="str">
        <f t="shared" si="35"/>
        <v/>
      </c>
    </row>
    <row r="402" spans="2:14" x14ac:dyDescent="0.2">
      <c r="B402" s="15"/>
      <c r="C402" s="6"/>
      <c r="D402" s="12"/>
      <c r="E402" s="10" t="str">
        <f t="shared" si="31"/>
        <v/>
      </c>
      <c r="F402" s="16"/>
      <c r="G402" s="13"/>
      <c r="H402" s="6"/>
      <c r="I402" s="6"/>
      <c r="J402" s="11" t="str">
        <f t="shared" si="32"/>
        <v/>
      </c>
      <c r="K402" s="17" t="str">
        <f t="shared" si="33"/>
        <v/>
      </c>
      <c r="L402" s="18" t="str">
        <f t="shared" si="34"/>
        <v/>
      </c>
      <c r="M402" s="18" t="str">
        <f>IF(J402&lt;&gt;-1,"",ROUND(F402*IFERROR(INDEX(Stocuri!$G$5:$G$204,MATCH(D402,Coduri,0)),0),2))</f>
        <v/>
      </c>
      <c r="N402" s="19" t="str">
        <f t="shared" si="35"/>
        <v/>
      </c>
    </row>
    <row r="403" spans="2:14" x14ac:dyDescent="0.2">
      <c r="B403" s="15"/>
      <c r="C403" s="6"/>
      <c r="D403" s="12"/>
      <c r="E403" s="10" t="str">
        <f t="shared" si="31"/>
        <v/>
      </c>
      <c r="F403" s="16"/>
      <c r="G403" s="13"/>
      <c r="H403" s="6"/>
      <c r="I403" s="6"/>
      <c r="J403" s="11" t="str">
        <f t="shared" si="32"/>
        <v/>
      </c>
      <c r="K403" s="17" t="str">
        <f t="shared" si="33"/>
        <v/>
      </c>
      <c r="L403" s="18" t="str">
        <f t="shared" si="34"/>
        <v/>
      </c>
      <c r="M403" s="18" t="str">
        <f>IF(J403&lt;&gt;-1,"",ROUND(F403*IFERROR(INDEX(Stocuri!$G$5:$G$204,MATCH(D403,Coduri,0)),0),2))</f>
        <v/>
      </c>
      <c r="N403" s="19" t="str">
        <f t="shared" si="35"/>
        <v/>
      </c>
    </row>
    <row r="404" spans="2:14" x14ac:dyDescent="0.2">
      <c r="B404" s="15"/>
      <c r="C404" s="6"/>
      <c r="D404" s="12"/>
      <c r="E404" s="10" t="str">
        <f t="shared" si="31"/>
        <v/>
      </c>
      <c r="F404" s="16"/>
      <c r="G404" s="13"/>
      <c r="H404" s="6"/>
      <c r="I404" s="6"/>
      <c r="J404" s="11" t="str">
        <f t="shared" si="32"/>
        <v/>
      </c>
      <c r="K404" s="17" t="str">
        <f t="shared" si="33"/>
        <v/>
      </c>
      <c r="L404" s="18" t="str">
        <f t="shared" si="34"/>
        <v/>
      </c>
      <c r="M404" s="18" t="str">
        <f>IF(J404&lt;&gt;-1,"",ROUND(F404*IFERROR(INDEX(Stocuri!$G$5:$G$204,MATCH(D404,Coduri,0)),0),2))</f>
        <v/>
      </c>
      <c r="N404" s="19" t="str">
        <f t="shared" si="35"/>
        <v/>
      </c>
    </row>
    <row r="405" spans="2:14" x14ac:dyDescent="0.2">
      <c r="B405" s="15"/>
      <c r="C405" s="6"/>
      <c r="D405" s="12"/>
      <c r="E405" s="10" t="str">
        <f t="shared" si="31"/>
        <v/>
      </c>
      <c r="F405" s="16"/>
      <c r="G405" s="13"/>
      <c r="H405" s="6"/>
      <c r="I405" s="6"/>
      <c r="J405" s="11" t="str">
        <f t="shared" si="32"/>
        <v/>
      </c>
      <c r="K405" s="17" t="str">
        <f t="shared" si="33"/>
        <v/>
      </c>
      <c r="L405" s="18" t="str">
        <f t="shared" si="34"/>
        <v/>
      </c>
      <c r="M405" s="18" t="str">
        <f>IF(J405&lt;&gt;-1,"",ROUND(F405*IFERROR(INDEX(Stocuri!$G$5:$G$204,MATCH(D405,Coduri,0)),0),2))</f>
        <v/>
      </c>
      <c r="N405" s="19" t="str">
        <f t="shared" si="35"/>
        <v/>
      </c>
    </row>
    <row r="406" spans="2:14" x14ac:dyDescent="0.2">
      <c r="B406" s="15"/>
      <c r="C406" s="6"/>
      <c r="D406" s="12"/>
      <c r="E406" s="10" t="str">
        <f t="shared" si="31"/>
        <v/>
      </c>
      <c r="F406" s="16"/>
      <c r="G406" s="13"/>
      <c r="H406" s="6"/>
      <c r="I406" s="6"/>
      <c r="J406" s="11" t="str">
        <f t="shared" si="32"/>
        <v/>
      </c>
      <c r="K406" s="17" t="str">
        <f t="shared" si="33"/>
        <v/>
      </c>
      <c r="L406" s="18" t="str">
        <f t="shared" si="34"/>
        <v/>
      </c>
      <c r="M406" s="18" t="str">
        <f>IF(J406&lt;&gt;-1,"",ROUND(F406*IFERROR(INDEX(Stocuri!$G$5:$G$204,MATCH(D406,Coduri,0)),0),2))</f>
        <v/>
      </c>
      <c r="N406" s="19" t="str">
        <f t="shared" si="35"/>
        <v/>
      </c>
    </row>
    <row r="407" spans="2:14" x14ac:dyDescent="0.2">
      <c r="B407" s="15"/>
      <c r="C407" s="6"/>
      <c r="D407" s="12"/>
      <c r="E407" s="10" t="str">
        <f t="shared" si="31"/>
        <v/>
      </c>
      <c r="F407" s="16"/>
      <c r="G407" s="13"/>
      <c r="H407" s="6"/>
      <c r="I407" s="6"/>
      <c r="J407" s="11" t="str">
        <f t="shared" si="32"/>
        <v/>
      </c>
      <c r="K407" s="17" t="str">
        <f t="shared" si="33"/>
        <v/>
      </c>
      <c r="L407" s="18" t="str">
        <f t="shared" si="34"/>
        <v/>
      </c>
      <c r="M407" s="18" t="str">
        <f>IF(J407&lt;&gt;-1,"",ROUND(F407*IFERROR(INDEX(Stocuri!$G$5:$G$204,MATCH(D407,Coduri,0)),0),2))</f>
        <v/>
      </c>
      <c r="N407" s="19" t="str">
        <f t="shared" si="35"/>
        <v/>
      </c>
    </row>
    <row r="408" spans="2:14" x14ac:dyDescent="0.2">
      <c r="B408" s="15"/>
      <c r="C408" s="6"/>
      <c r="D408" s="12"/>
      <c r="E408" s="10" t="str">
        <f t="shared" si="31"/>
        <v/>
      </c>
      <c r="F408" s="16"/>
      <c r="G408" s="13"/>
      <c r="H408" s="6"/>
      <c r="I408" s="6"/>
      <c r="J408" s="11" t="str">
        <f t="shared" si="32"/>
        <v/>
      </c>
      <c r="K408" s="17" t="str">
        <f t="shared" si="33"/>
        <v/>
      </c>
      <c r="L408" s="18" t="str">
        <f t="shared" si="34"/>
        <v/>
      </c>
      <c r="M408" s="18" t="str">
        <f>IF(J408&lt;&gt;-1,"",ROUND(F408*IFERROR(INDEX(Stocuri!$G$5:$G$204,MATCH(D408,Coduri,0)),0),2))</f>
        <v/>
      </c>
      <c r="N408" s="19" t="str">
        <f t="shared" si="35"/>
        <v/>
      </c>
    </row>
    <row r="409" spans="2:14" x14ac:dyDescent="0.2">
      <c r="B409" s="15"/>
      <c r="C409" s="6"/>
      <c r="D409" s="12"/>
      <c r="E409" s="10" t="str">
        <f t="shared" si="31"/>
        <v/>
      </c>
      <c r="F409" s="16"/>
      <c r="G409" s="13"/>
      <c r="H409" s="6"/>
      <c r="I409" s="6"/>
      <c r="J409" s="11" t="str">
        <f t="shared" si="32"/>
        <v/>
      </c>
      <c r="K409" s="17" t="str">
        <f t="shared" si="33"/>
        <v/>
      </c>
      <c r="L409" s="18" t="str">
        <f t="shared" si="34"/>
        <v/>
      </c>
      <c r="M409" s="18" t="str">
        <f>IF(J409&lt;&gt;-1,"",ROUND(F409*IFERROR(INDEX(Stocuri!$G$5:$G$204,MATCH(D409,Coduri,0)),0),2))</f>
        <v/>
      </c>
      <c r="N409" s="19" t="str">
        <f t="shared" si="35"/>
        <v/>
      </c>
    </row>
    <row r="410" spans="2:14" x14ac:dyDescent="0.2">
      <c r="B410" s="15"/>
      <c r="C410" s="6"/>
      <c r="D410" s="12"/>
      <c r="E410" s="10" t="str">
        <f t="shared" si="31"/>
        <v/>
      </c>
      <c r="F410" s="16"/>
      <c r="G410" s="13"/>
      <c r="H410" s="6"/>
      <c r="I410" s="6"/>
      <c r="J410" s="11" t="str">
        <f t="shared" si="32"/>
        <v/>
      </c>
      <c r="K410" s="17" t="str">
        <f t="shared" si="33"/>
        <v/>
      </c>
      <c r="L410" s="18" t="str">
        <f t="shared" si="34"/>
        <v/>
      </c>
      <c r="M410" s="18" t="str">
        <f>IF(J410&lt;&gt;-1,"",ROUND(F410*IFERROR(INDEX(Stocuri!$G$5:$G$204,MATCH(D410,Coduri,0)),0),2))</f>
        <v/>
      </c>
      <c r="N410" s="19" t="str">
        <f t="shared" si="35"/>
        <v/>
      </c>
    </row>
    <row r="411" spans="2:14" x14ac:dyDescent="0.2">
      <c r="B411" s="15"/>
      <c r="C411" s="6"/>
      <c r="D411" s="12"/>
      <c r="E411" s="10" t="str">
        <f t="shared" si="31"/>
        <v/>
      </c>
      <c r="F411" s="16"/>
      <c r="G411" s="13"/>
      <c r="H411" s="6"/>
      <c r="I411" s="6"/>
      <c r="J411" s="11" t="str">
        <f t="shared" si="32"/>
        <v/>
      </c>
      <c r="K411" s="17" t="str">
        <f t="shared" si="33"/>
        <v/>
      </c>
      <c r="L411" s="18" t="str">
        <f t="shared" si="34"/>
        <v/>
      </c>
      <c r="M411" s="18" t="str">
        <f>IF(J411&lt;&gt;-1,"",ROUND(F411*IFERROR(INDEX(Stocuri!$G$5:$G$204,MATCH(D411,Coduri,0)),0),2))</f>
        <v/>
      </c>
      <c r="N411" s="19" t="str">
        <f t="shared" si="35"/>
        <v/>
      </c>
    </row>
    <row r="412" spans="2:14" x14ac:dyDescent="0.2">
      <c r="B412" s="15"/>
      <c r="C412" s="6"/>
      <c r="D412" s="12"/>
      <c r="E412" s="10" t="str">
        <f t="shared" si="31"/>
        <v/>
      </c>
      <c r="F412" s="16"/>
      <c r="G412" s="13"/>
      <c r="H412" s="6"/>
      <c r="I412" s="6"/>
      <c r="J412" s="11" t="str">
        <f t="shared" si="32"/>
        <v/>
      </c>
      <c r="K412" s="17" t="str">
        <f t="shared" si="33"/>
        <v/>
      </c>
      <c r="L412" s="18" t="str">
        <f t="shared" si="34"/>
        <v/>
      </c>
      <c r="M412" s="18" t="str">
        <f>IF(J412&lt;&gt;-1,"",ROUND(F412*IFERROR(INDEX(Stocuri!$G$5:$G$204,MATCH(D412,Coduri,0)),0),2))</f>
        <v/>
      </c>
      <c r="N412" s="19" t="str">
        <f t="shared" si="35"/>
        <v/>
      </c>
    </row>
    <row r="413" spans="2:14" x14ac:dyDescent="0.2">
      <c r="B413" s="15"/>
      <c r="C413" s="6"/>
      <c r="D413" s="12"/>
      <c r="E413" s="10" t="str">
        <f t="shared" si="31"/>
        <v/>
      </c>
      <c r="F413" s="16"/>
      <c r="G413" s="13"/>
      <c r="H413" s="6"/>
      <c r="I413" s="6"/>
      <c r="J413" s="11" t="str">
        <f t="shared" si="32"/>
        <v/>
      </c>
      <c r="K413" s="17" t="str">
        <f t="shared" si="33"/>
        <v/>
      </c>
      <c r="L413" s="18" t="str">
        <f t="shared" si="34"/>
        <v/>
      </c>
      <c r="M413" s="18" t="str">
        <f>IF(J413&lt;&gt;-1,"",ROUND(F413*IFERROR(INDEX(Stocuri!$G$5:$G$204,MATCH(D413,Coduri,0)),0),2))</f>
        <v/>
      </c>
      <c r="N413" s="19" t="str">
        <f t="shared" si="35"/>
        <v/>
      </c>
    </row>
    <row r="414" spans="2:14" x14ac:dyDescent="0.2">
      <c r="B414" s="15"/>
      <c r="C414" s="6"/>
      <c r="D414" s="12"/>
      <c r="E414" s="10" t="str">
        <f t="shared" si="31"/>
        <v/>
      </c>
      <c r="F414" s="16"/>
      <c r="G414" s="13"/>
      <c r="H414" s="6"/>
      <c r="I414" s="6"/>
      <c r="J414" s="11" t="str">
        <f t="shared" si="32"/>
        <v/>
      </c>
      <c r="K414" s="17" t="str">
        <f t="shared" si="33"/>
        <v/>
      </c>
      <c r="L414" s="18" t="str">
        <f t="shared" si="34"/>
        <v/>
      </c>
      <c r="M414" s="18" t="str">
        <f>IF(J414&lt;&gt;-1,"",ROUND(F414*IFERROR(INDEX(Stocuri!$G$5:$G$204,MATCH(D414,Coduri,0)),0),2))</f>
        <v/>
      </c>
      <c r="N414" s="19" t="str">
        <f t="shared" si="35"/>
        <v/>
      </c>
    </row>
    <row r="415" spans="2:14" x14ac:dyDescent="0.2">
      <c r="B415" s="15"/>
      <c r="C415" s="6"/>
      <c r="D415" s="12"/>
      <c r="E415" s="10" t="str">
        <f t="shared" si="31"/>
        <v/>
      </c>
      <c r="F415" s="16"/>
      <c r="G415" s="13"/>
      <c r="H415" s="6"/>
      <c r="I415" s="6"/>
      <c r="J415" s="11" t="str">
        <f t="shared" si="32"/>
        <v/>
      </c>
      <c r="K415" s="17" t="str">
        <f t="shared" si="33"/>
        <v/>
      </c>
      <c r="L415" s="18" t="str">
        <f t="shared" si="34"/>
        <v/>
      </c>
      <c r="M415" s="18" t="str">
        <f>IF(J415&lt;&gt;-1,"",ROUND(F415*IFERROR(INDEX(Stocuri!$G$5:$G$204,MATCH(D415,Coduri,0)),0),2))</f>
        <v/>
      </c>
      <c r="N415" s="19" t="str">
        <f t="shared" si="35"/>
        <v/>
      </c>
    </row>
    <row r="416" spans="2:14" x14ac:dyDescent="0.2">
      <c r="B416" s="15"/>
      <c r="C416" s="6"/>
      <c r="D416" s="12"/>
      <c r="E416" s="10" t="str">
        <f t="shared" si="31"/>
        <v/>
      </c>
      <c r="F416" s="16"/>
      <c r="G416" s="13"/>
      <c r="H416" s="6"/>
      <c r="I416" s="6"/>
      <c r="J416" s="11" t="str">
        <f t="shared" si="32"/>
        <v/>
      </c>
      <c r="K416" s="17" t="str">
        <f t="shared" si="33"/>
        <v/>
      </c>
      <c r="L416" s="18" t="str">
        <f t="shared" si="34"/>
        <v/>
      </c>
      <c r="M416" s="18" t="str">
        <f>IF(J416&lt;&gt;-1,"",ROUND(F416*IFERROR(INDEX(Stocuri!$G$5:$G$204,MATCH(D416,Coduri,0)),0),2))</f>
        <v/>
      </c>
      <c r="N416" s="19" t="str">
        <f t="shared" si="35"/>
        <v/>
      </c>
    </row>
    <row r="417" spans="2:14" x14ac:dyDescent="0.2">
      <c r="B417" s="15"/>
      <c r="C417" s="6"/>
      <c r="D417" s="12"/>
      <c r="E417" s="10" t="str">
        <f t="shared" si="31"/>
        <v/>
      </c>
      <c r="F417" s="16"/>
      <c r="G417" s="13"/>
      <c r="H417" s="6"/>
      <c r="I417" s="6"/>
      <c r="J417" s="11" t="str">
        <f t="shared" si="32"/>
        <v/>
      </c>
      <c r="K417" s="17" t="str">
        <f t="shared" si="33"/>
        <v/>
      </c>
      <c r="L417" s="18" t="str">
        <f t="shared" si="34"/>
        <v/>
      </c>
      <c r="M417" s="18" t="str">
        <f>IF(J417&lt;&gt;-1,"",ROUND(F417*IFERROR(INDEX(Stocuri!$G$5:$G$204,MATCH(D417,Coduri,0)),0),2))</f>
        <v/>
      </c>
      <c r="N417" s="19" t="str">
        <f t="shared" si="35"/>
        <v/>
      </c>
    </row>
    <row r="418" spans="2:14" x14ac:dyDescent="0.2">
      <c r="B418" s="15"/>
      <c r="C418" s="6"/>
      <c r="D418" s="12"/>
      <c r="E418" s="10" t="str">
        <f t="shared" si="31"/>
        <v/>
      </c>
      <c r="F418" s="16"/>
      <c r="G418" s="13"/>
      <c r="H418" s="6"/>
      <c r="I418" s="6"/>
      <c r="J418" s="11" t="str">
        <f t="shared" si="32"/>
        <v/>
      </c>
      <c r="K418" s="17" t="str">
        <f t="shared" si="33"/>
        <v/>
      </c>
      <c r="L418" s="18" t="str">
        <f t="shared" si="34"/>
        <v/>
      </c>
      <c r="M418" s="18" t="str">
        <f>IF(J418&lt;&gt;-1,"",ROUND(F418*IFERROR(INDEX(Stocuri!$G$5:$G$204,MATCH(D418,Coduri,0)),0),2))</f>
        <v/>
      </c>
      <c r="N418" s="19" t="str">
        <f t="shared" si="35"/>
        <v/>
      </c>
    </row>
    <row r="419" spans="2:14" x14ac:dyDescent="0.2">
      <c r="B419" s="15"/>
      <c r="C419" s="6"/>
      <c r="D419" s="12"/>
      <c r="E419" s="10" t="str">
        <f t="shared" si="31"/>
        <v/>
      </c>
      <c r="F419" s="16"/>
      <c r="G419" s="13"/>
      <c r="H419" s="6"/>
      <c r="I419" s="6"/>
      <c r="J419" s="11" t="str">
        <f t="shared" si="32"/>
        <v/>
      </c>
      <c r="K419" s="17" t="str">
        <f t="shared" si="33"/>
        <v/>
      </c>
      <c r="L419" s="18" t="str">
        <f t="shared" si="34"/>
        <v/>
      </c>
      <c r="M419" s="18" t="str">
        <f>IF(J419&lt;&gt;-1,"",ROUND(F419*IFERROR(INDEX(Stocuri!$G$5:$G$204,MATCH(D419,Coduri,0)),0),2))</f>
        <v/>
      </c>
      <c r="N419" s="19" t="str">
        <f t="shared" si="35"/>
        <v/>
      </c>
    </row>
    <row r="420" spans="2:14" x14ac:dyDescent="0.2">
      <c r="B420" s="15"/>
      <c r="C420" s="6"/>
      <c r="D420" s="12"/>
      <c r="E420" s="10" t="str">
        <f t="shared" si="31"/>
        <v/>
      </c>
      <c r="F420" s="16"/>
      <c r="G420" s="13"/>
      <c r="H420" s="6"/>
      <c r="I420" s="6"/>
      <c r="J420" s="11" t="str">
        <f t="shared" si="32"/>
        <v/>
      </c>
      <c r="K420" s="17" t="str">
        <f t="shared" si="33"/>
        <v/>
      </c>
      <c r="L420" s="18" t="str">
        <f t="shared" si="34"/>
        <v/>
      </c>
      <c r="M420" s="18" t="str">
        <f>IF(J420&lt;&gt;-1,"",ROUND(F420*IFERROR(INDEX(Stocuri!$G$5:$G$204,MATCH(D420,Coduri,0)),0),2))</f>
        <v/>
      </c>
      <c r="N420" s="19" t="str">
        <f t="shared" si="35"/>
        <v/>
      </c>
    </row>
    <row r="421" spans="2:14" x14ac:dyDescent="0.2">
      <c r="B421" s="15"/>
      <c r="C421" s="6"/>
      <c r="D421" s="12"/>
      <c r="E421" s="10" t="str">
        <f t="shared" si="31"/>
        <v/>
      </c>
      <c r="F421" s="16"/>
      <c r="G421" s="13"/>
      <c r="H421" s="6"/>
      <c r="I421" s="6"/>
      <c r="J421" s="11" t="str">
        <f t="shared" si="32"/>
        <v/>
      </c>
      <c r="K421" s="17" t="str">
        <f t="shared" si="33"/>
        <v/>
      </c>
      <c r="L421" s="18" t="str">
        <f t="shared" si="34"/>
        <v/>
      </c>
      <c r="M421" s="18" t="str">
        <f>IF(J421&lt;&gt;-1,"",ROUND(F421*IFERROR(INDEX(Stocuri!$G$5:$G$204,MATCH(D421,Coduri,0)),0),2))</f>
        <v/>
      </c>
      <c r="N421" s="19" t="str">
        <f t="shared" si="35"/>
        <v/>
      </c>
    </row>
    <row r="422" spans="2:14" x14ac:dyDescent="0.2">
      <c r="B422" s="15"/>
      <c r="C422" s="6"/>
      <c r="D422" s="12"/>
      <c r="E422" s="10" t="str">
        <f t="shared" si="31"/>
        <v/>
      </c>
      <c r="F422" s="16"/>
      <c r="G422" s="13"/>
      <c r="H422" s="6"/>
      <c r="I422" s="6"/>
      <c r="J422" s="11" t="str">
        <f t="shared" si="32"/>
        <v/>
      </c>
      <c r="K422" s="17" t="str">
        <f t="shared" si="33"/>
        <v/>
      </c>
      <c r="L422" s="18" t="str">
        <f t="shared" si="34"/>
        <v/>
      </c>
      <c r="M422" s="18" t="str">
        <f>IF(J422&lt;&gt;-1,"",ROUND(F422*IFERROR(INDEX(Stocuri!$G$5:$G$204,MATCH(D422,Coduri,0)),0),2))</f>
        <v/>
      </c>
      <c r="N422" s="19" t="str">
        <f t="shared" si="35"/>
        <v/>
      </c>
    </row>
    <row r="423" spans="2:14" x14ac:dyDescent="0.2">
      <c r="B423" s="15"/>
      <c r="C423" s="6"/>
      <c r="D423" s="12"/>
      <c r="E423" s="10" t="str">
        <f t="shared" si="31"/>
        <v/>
      </c>
      <c r="F423" s="16"/>
      <c r="G423" s="13"/>
      <c r="H423" s="6"/>
      <c r="I423" s="6"/>
      <c r="J423" s="11" t="str">
        <f t="shared" si="32"/>
        <v/>
      </c>
      <c r="K423" s="17" t="str">
        <f t="shared" si="33"/>
        <v/>
      </c>
      <c r="L423" s="18" t="str">
        <f t="shared" si="34"/>
        <v/>
      </c>
      <c r="M423" s="18" t="str">
        <f>IF(J423&lt;&gt;-1,"",ROUND(F423*IFERROR(INDEX(Stocuri!$G$5:$G$204,MATCH(D423,Coduri,0)),0),2))</f>
        <v/>
      </c>
      <c r="N423" s="19" t="str">
        <f t="shared" si="35"/>
        <v/>
      </c>
    </row>
    <row r="424" spans="2:14" x14ac:dyDescent="0.2">
      <c r="B424" s="15"/>
      <c r="C424" s="6"/>
      <c r="D424" s="12"/>
      <c r="E424" s="10" t="str">
        <f t="shared" si="31"/>
        <v/>
      </c>
      <c r="F424" s="16"/>
      <c r="G424" s="13"/>
      <c r="H424" s="6"/>
      <c r="I424" s="6"/>
      <c r="J424" s="11" t="str">
        <f t="shared" si="32"/>
        <v/>
      </c>
      <c r="K424" s="17" t="str">
        <f t="shared" si="33"/>
        <v/>
      </c>
      <c r="L424" s="18" t="str">
        <f t="shared" si="34"/>
        <v/>
      </c>
      <c r="M424" s="18" t="str">
        <f>IF(J424&lt;&gt;-1,"",ROUND(F424*IFERROR(INDEX(Stocuri!$G$5:$G$204,MATCH(D424,Coduri,0)),0),2))</f>
        <v/>
      </c>
      <c r="N424" s="19" t="str">
        <f t="shared" si="35"/>
        <v/>
      </c>
    </row>
    <row r="425" spans="2:14" x14ac:dyDescent="0.2">
      <c r="B425" s="15"/>
      <c r="C425" s="6"/>
      <c r="D425" s="12"/>
      <c r="E425" s="10" t="str">
        <f t="shared" si="31"/>
        <v/>
      </c>
      <c r="F425" s="16"/>
      <c r="G425" s="13"/>
      <c r="H425" s="6"/>
      <c r="I425" s="6"/>
      <c r="J425" s="11" t="str">
        <f t="shared" si="32"/>
        <v/>
      </c>
      <c r="K425" s="17" t="str">
        <f t="shared" si="33"/>
        <v/>
      </c>
      <c r="L425" s="18" t="str">
        <f t="shared" si="34"/>
        <v/>
      </c>
      <c r="M425" s="18" t="str">
        <f>IF(J425&lt;&gt;-1,"",ROUND(F425*IFERROR(INDEX(Stocuri!$G$5:$G$204,MATCH(D425,Coduri,0)),0),2))</f>
        <v/>
      </c>
      <c r="N425" s="19" t="str">
        <f t="shared" si="35"/>
        <v/>
      </c>
    </row>
    <row r="426" spans="2:14" x14ac:dyDescent="0.2">
      <c r="B426" s="15"/>
      <c r="C426" s="6"/>
      <c r="D426" s="12"/>
      <c r="E426" s="10" t="str">
        <f t="shared" si="31"/>
        <v/>
      </c>
      <c r="F426" s="16"/>
      <c r="G426" s="13"/>
      <c r="H426" s="6"/>
      <c r="I426" s="6"/>
      <c r="J426" s="11" t="str">
        <f t="shared" si="32"/>
        <v/>
      </c>
      <c r="K426" s="17" t="str">
        <f t="shared" si="33"/>
        <v/>
      </c>
      <c r="L426" s="18" t="str">
        <f t="shared" si="34"/>
        <v/>
      </c>
      <c r="M426" s="18" t="str">
        <f>IF(J426&lt;&gt;-1,"",ROUND(F426*IFERROR(INDEX(Stocuri!$G$5:$G$204,MATCH(D426,Coduri,0)),0),2))</f>
        <v/>
      </c>
      <c r="N426" s="19" t="str">
        <f t="shared" si="35"/>
        <v/>
      </c>
    </row>
    <row r="427" spans="2:14" x14ac:dyDescent="0.2">
      <c r="B427" s="15"/>
      <c r="C427" s="6"/>
      <c r="D427" s="12"/>
      <c r="E427" s="10" t="str">
        <f t="shared" si="31"/>
        <v/>
      </c>
      <c r="F427" s="16"/>
      <c r="G427" s="13"/>
      <c r="H427" s="6"/>
      <c r="I427" s="6"/>
      <c r="J427" s="11" t="str">
        <f t="shared" si="32"/>
        <v/>
      </c>
      <c r="K427" s="17" t="str">
        <f t="shared" si="33"/>
        <v/>
      </c>
      <c r="L427" s="18" t="str">
        <f t="shared" si="34"/>
        <v/>
      </c>
      <c r="M427" s="18" t="str">
        <f>IF(J427&lt;&gt;-1,"",ROUND(F427*IFERROR(INDEX(Stocuri!$G$5:$G$204,MATCH(D427,Coduri,0)),0),2))</f>
        <v/>
      </c>
      <c r="N427" s="19" t="str">
        <f t="shared" si="35"/>
        <v/>
      </c>
    </row>
    <row r="428" spans="2:14" x14ac:dyDescent="0.2">
      <c r="B428" s="15"/>
      <c r="C428" s="6"/>
      <c r="D428" s="12"/>
      <c r="E428" s="10" t="str">
        <f t="shared" si="31"/>
        <v/>
      </c>
      <c r="F428" s="16"/>
      <c r="G428" s="13"/>
      <c r="H428" s="6"/>
      <c r="I428" s="6"/>
      <c r="J428" s="11" t="str">
        <f t="shared" si="32"/>
        <v/>
      </c>
      <c r="K428" s="17" t="str">
        <f t="shared" si="33"/>
        <v/>
      </c>
      <c r="L428" s="18" t="str">
        <f t="shared" si="34"/>
        <v/>
      </c>
      <c r="M428" s="18" t="str">
        <f>IF(J428&lt;&gt;-1,"",ROUND(F428*IFERROR(INDEX(Stocuri!$G$5:$G$204,MATCH(D428,Coduri,0)),0),2))</f>
        <v/>
      </c>
      <c r="N428" s="19" t="str">
        <f t="shared" si="35"/>
        <v/>
      </c>
    </row>
    <row r="429" spans="2:14" x14ac:dyDescent="0.2">
      <c r="B429" s="15"/>
      <c r="C429" s="6"/>
      <c r="D429" s="12"/>
      <c r="E429" s="10" t="str">
        <f t="shared" si="31"/>
        <v/>
      </c>
      <c r="F429" s="16"/>
      <c r="G429" s="13"/>
      <c r="H429" s="6"/>
      <c r="I429" s="6"/>
      <c r="J429" s="11" t="str">
        <f t="shared" si="32"/>
        <v/>
      </c>
      <c r="K429" s="17" t="str">
        <f t="shared" si="33"/>
        <v/>
      </c>
      <c r="L429" s="18" t="str">
        <f t="shared" si="34"/>
        <v/>
      </c>
      <c r="M429" s="18" t="str">
        <f>IF(J429&lt;&gt;-1,"",ROUND(F429*IFERROR(INDEX(Stocuri!$G$5:$G$204,MATCH(D429,Coduri,0)),0),2))</f>
        <v/>
      </c>
      <c r="N429" s="19" t="str">
        <f t="shared" si="35"/>
        <v/>
      </c>
    </row>
    <row r="430" spans="2:14" x14ac:dyDescent="0.2">
      <c r="B430" s="15"/>
      <c r="C430" s="6"/>
      <c r="D430" s="12"/>
      <c r="E430" s="10" t="str">
        <f t="shared" si="31"/>
        <v/>
      </c>
      <c r="F430" s="16"/>
      <c r="G430" s="13"/>
      <c r="H430" s="6"/>
      <c r="I430" s="6"/>
      <c r="J430" s="11" t="str">
        <f t="shared" si="32"/>
        <v/>
      </c>
      <c r="K430" s="17" t="str">
        <f t="shared" si="33"/>
        <v/>
      </c>
      <c r="L430" s="18" t="str">
        <f t="shared" si="34"/>
        <v/>
      </c>
      <c r="M430" s="18" t="str">
        <f>IF(J430&lt;&gt;-1,"",ROUND(F430*IFERROR(INDEX(Stocuri!$G$5:$G$204,MATCH(D430,Coduri,0)),0),2))</f>
        <v/>
      </c>
      <c r="N430" s="19" t="str">
        <f t="shared" si="35"/>
        <v/>
      </c>
    </row>
    <row r="431" spans="2:14" x14ac:dyDescent="0.2">
      <c r="B431" s="15"/>
      <c r="C431" s="6"/>
      <c r="D431" s="12"/>
      <c r="E431" s="10" t="str">
        <f t="shared" si="31"/>
        <v/>
      </c>
      <c r="F431" s="16"/>
      <c r="G431" s="13"/>
      <c r="H431" s="6"/>
      <c r="I431" s="6"/>
      <c r="J431" s="11" t="str">
        <f t="shared" si="32"/>
        <v/>
      </c>
      <c r="K431" s="17" t="str">
        <f t="shared" si="33"/>
        <v/>
      </c>
      <c r="L431" s="18" t="str">
        <f t="shared" si="34"/>
        <v/>
      </c>
      <c r="M431" s="18" t="str">
        <f>IF(J431&lt;&gt;-1,"",ROUND(F431*IFERROR(INDEX(Stocuri!$G$5:$G$204,MATCH(D431,Coduri,0)),0),2))</f>
        <v/>
      </c>
      <c r="N431" s="19" t="str">
        <f t="shared" si="35"/>
        <v/>
      </c>
    </row>
    <row r="432" spans="2:14" x14ac:dyDescent="0.2">
      <c r="B432" s="15"/>
      <c r="C432" s="6"/>
      <c r="D432" s="12"/>
      <c r="E432" s="10" t="str">
        <f t="shared" si="31"/>
        <v/>
      </c>
      <c r="F432" s="16"/>
      <c r="G432" s="13"/>
      <c r="H432" s="6"/>
      <c r="I432" s="6"/>
      <c r="J432" s="11" t="str">
        <f t="shared" si="32"/>
        <v/>
      </c>
      <c r="K432" s="17" t="str">
        <f t="shared" si="33"/>
        <v/>
      </c>
      <c r="L432" s="18" t="str">
        <f t="shared" si="34"/>
        <v/>
      </c>
      <c r="M432" s="18" t="str">
        <f>IF(J432&lt;&gt;-1,"",ROUND(F432*IFERROR(INDEX(Stocuri!$G$5:$G$204,MATCH(D432,Coduri,0)),0),2))</f>
        <v/>
      </c>
      <c r="N432" s="19" t="str">
        <f t="shared" si="35"/>
        <v/>
      </c>
    </row>
    <row r="433" spans="2:14" x14ac:dyDescent="0.2">
      <c r="B433" s="15"/>
      <c r="C433" s="6"/>
      <c r="D433" s="12"/>
      <c r="E433" s="10" t="str">
        <f t="shared" si="31"/>
        <v/>
      </c>
      <c r="F433" s="16"/>
      <c r="G433" s="13"/>
      <c r="H433" s="6"/>
      <c r="I433" s="6"/>
      <c r="J433" s="11" t="str">
        <f t="shared" si="32"/>
        <v/>
      </c>
      <c r="K433" s="17" t="str">
        <f t="shared" si="33"/>
        <v/>
      </c>
      <c r="L433" s="18" t="str">
        <f t="shared" si="34"/>
        <v/>
      </c>
      <c r="M433" s="18" t="str">
        <f>IF(J433&lt;&gt;-1,"",ROUND(F433*IFERROR(INDEX(Stocuri!$G$5:$G$204,MATCH(D433,Coduri,0)),0),2))</f>
        <v/>
      </c>
      <c r="N433" s="19" t="str">
        <f t="shared" si="35"/>
        <v/>
      </c>
    </row>
    <row r="434" spans="2:14" x14ac:dyDescent="0.2">
      <c r="B434" s="15"/>
      <c r="C434" s="6"/>
      <c r="D434" s="12"/>
      <c r="E434" s="10" t="str">
        <f t="shared" si="31"/>
        <v/>
      </c>
      <c r="F434" s="16"/>
      <c r="G434" s="13"/>
      <c r="H434" s="6"/>
      <c r="I434" s="6"/>
      <c r="J434" s="11" t="str">
        <f t="shared" si="32"/>
        <v/>
      </c>
      <c r="K434" s="17" t="str">
        <f t="shared" si="33"/>
        <v/>
      </c>
      <c r="L434" s="18" t="str">
        <f t="shared" si="34"/>
        <v/>
      </c>
      <c r="M434" s="18" t="str">
        <f>IF(J434&lt;&gt;-1,"",ROUND(F434*IFERROR(INDEX(Stocuri!$G$5:$G$204,MATCH(D434,Coduri,0)),0),2))</f>
        <v/>
      </c>
      <c r="N434" s="19" t="str">
        <f t="shared" si="35"/>
        <v/>
      </c>
    </row>
    <row r="435" spans="2:14" x14ac:dyDescent="0.2">
      <c r="B435" s="15"/>
      <c r="C435" s="6"/>
      <c r="D435" s="12"/>
      <c r="E435" s="10" t="str">
        <f t="shared" si="31"/>
        <v/>
      </c>
      <c r="F435" s="16"/>
      <c r="G435" s="13"/>
      <c r="H435" s="6"/>
      <c r="I435" s="6"/>
      <c r="J435" s="11" t="str">
        <f t="shared" si="32"/>
        <v/>
      </c>
      <c r="K435" s="17" t="str">
        <f t="shared" si="33"/>
        <v/>
      </c>
      <c r="L435" s="18" t="str">
        <f t="shared" si="34"/>
        <v/>
      </c>
      <c r="M435" s="18" t="str">
        <f>IF(J435&lt;&gt;-1,"",ROUND(F435*IFERROR(INDEX(Stocuri!$G$5:$G$204,MATCH(D435,Coduri,0)),0),2))</f>
        <v/>
      </c>
      <c r="N435" s="19" t="str">
        <f t="shared" si="35"/>
        <v/>
      </c>
    </row>
    <row r="436" spans="2:14" x14ac:dyDescent="0.2">
      <c r="B436" s="15"/>
      <c r="C436" s="6"/>
      <c r="D436" s="12"/>
      <c r="E436" s="10" t="str">
        <f t="shared" si="31"/>
        <v/>
      </c>
      <c r="F436" s="16"/>
      <c r="G436" s="13"/>
      <c r="H436" s="6"/>
      <c r="I436" s="6"/>
      <c r="J436" s="11" t="str">
        <f t="shared" si="32"/>
        <v/>
      </c>
      <c r="K436" s="17" t="str">
        <f t="shared" si="33"/>
        <v/>
      </c>
      <c r="L436" s="18" t="str">
        <f t="shared" si="34"/>
        <v/>
      </c>
      <c r="M436" s="18" t="str">
        <f>IF(J436&lt;&gt;-1,"",ROUND(F436*IFERROR(INDEX(Stocuri!$G$5:$G$204,MATCH(D436,Coduri,0)),0),2))</f>
        <v/>
      </c>
      <c r="N436" s="19" t="str">
        <f t="shared" si="35"/>
        <v/>
      </c>
    </row>
    <row r="437" spans="2:14" x14ac:dyDescent="0.2">
      <c r="B437" s="15"/>
      <c r="C437" s="6"/>
      <c r="D437" s="12"/>
      <c r="E437" s="10" t="str">
        <f t="shared" si="31"/>
        <v/>
      </c>
      <c r="F437" s="16"/>
      <c r="G437" s="13"/>
      <c r="H437" s="6"/>
      <c r="I437" s="6"/>
      <c r="J437" s="11" t="str">
        <f t="shared" si="32"/>
        <v/>
      </c>
      <c r="K437" s="17" t="str">
        <f t="shared" si="33"/>
        <v/>
      </c>
      <c r="L437" s="18" t="str">
        <f t="shared" si="34"/>
        <v/>
      </c>
      <c r="M437" s="18" t="str">
        <f>IF(J437&lt;&gt;-1,"",ROUND(F437*IFERROR(INDEX(Stocuri!$G$5:$G$204,MATCH(D437,Coduri,0)),0),2))</f>
        <v/>
      </c>
      <c r="N437" s="19" t="str">
        <f t="shared" si="35"/>
        <v/>
      </c>
    </row>
    <row r="438" spans="2:14" x14ac:dyDescent="0.2">
      <c r="B438" s="15"/>
      <c r="C438" s="6"/>
      <c r="D438" s="12"/>
      <c r="E438" s="10" t="str">
        <f t="shared" si="31"/>
        <v/>
      </c>
      <c r="F438" s="16"/>
      <c r="G438" s="13"/>
      <c r="H438" s="6"/>
      <c r="I438" s="6"/>
      <c r="J438" s="11" t="str">
        <f t="shared" si="32"/>
        <v/>
      </c>
      <c r="K438" s="17" t="str">
        <f t="shared" si="33"/>
        <v/>
      </c>
      <c r="L438" s="18" t="str">
        <f t="shared" si="34"/>
        <v/>
      </c>
      <c r="M438" s="18" t="str">
        <f>IF(J438&lt;&gt;-1,"",ROUND(F438*IFERROR(INDEX(Stocuri!$G$5:$G$204,MATCH(D438,Coduri,0)),0),2))</f>
        <v/>
      </c>
      <c r="N438" s="19" t="str">
        <f t="shared" si="35"/>
        <v/>
      </c>
    </row>
    <row r="439" spans="2:14" x14ac:dyDescent="0.2">
      <c r="B439" s="15"/>
      <c r="C439" s="6"/>
      <c r="D439" s="12"/>
      <c r="E439" s="10" t="str">
        <f t="shared" si="31"/>
        <v/>
      </c>
      <c r="F439" s="16"/>
      <c r="G439" s="13"/>
      <c r="H439" s="6"/>
      <c r="I439" s="6"/>
      <c r="J439" s="11" t="str">
        <f t="shared" si="32"/>
        <v/>
      </c>
      <c r="K439" s="17" t="str">
        <f t="shared" si="33"/>
        <v/>
      </c>
      <c r="L439" s="18" t="str">
        <f t="shared" si="34"/>
        <v/>
      </c>
      <c r="M439" s="18" t="str">
        <f>IF(J439&lt;&gt;-1,"",ROUND(F439*IFERROR(INDEX(Stocuri!$G$5:$G$204,MATCH(D439,Coduri,0)),0),2))</f>
        <v/>
      </c>
      <c r="N439" s="19" t="str">
        <f t="shared" si="35"/>
        <v/>
      </c>
    </row>
    <row r="440" spans="2:14" x14ac:dyDescent="0.2">
      <c r="B440" s="15"/>
      <c r="C440" s="6"/>
      <c r="D440" s="12"/>
      <c r="E440" s="10" t="str">
        <f t="shared" si="31"/>
        <v/>
      </c>
      <c r="F440" s="16"/>
      <c r="G440" s="13"/>
      <c r="H440" s="6"/>
      <c r="I440" s="6"/>
      <c r="J440" s="11" t="str">
        <f t="shared" si="32"/>
        <v/>
      </c>
      <c r="K440" s="17" t="str">
        <f t="shared" si="33"/>
        <v/>
      </c>
      <c r="L440" s="18" t="str">
        <f t="shared" si="34"/>
        <v/>
      </c>
      <c r="M440" s="18" t="str">
        <f>IF(J440&lt;&gt;-1,"",ROUND(F440*IFERROR(INDEX(Stocuri!$G$5:$G$204,MATCH(D440,Coduri,0)),0),2))</f>
        <v/>
      </c>
      <c r="N440" s="19" t="str">
        <f t="shared" si="35"/>
        <v/>
      </c>
    </row>
    <row r="441" spans="2:14" x14ac:dyDescent="0.2">
      <c r="B441" s="15"/>
      <c r="C441" s="6"/>
      <c r="D441" s="12"/>
      <c r="E441" s="10" t="str">
        <f t="shared" si="31"/>
        <v/>
      </c>
      <c r="F441" s="16"/>
      <c r="G441" s="13"/>
      <c r="H441" s="6"/>
      <c r="I441" s="6"/>
      <c r="J441" s="11" t="str">
        <f t="shared" si="32"/>
        <v/>
      </c>
      <c r="K441" s="17" t="str">
        <f t="shared" si="33"/>
        <v/>
      </c>
      <c r="L441" s="18" t="str">
        <f t="shared" si="34"/>
        <v/>
      </c>
      <c r="M441" s="18" t="str">
        <f>IF(J441&lt;&gt;-1,"",ROUND(F441*IFERROR(INDEX(Stocuri!$G$5:$G$204,MATCH(D441,Coduri,0)),0),2))</f>
        <v/>
      </c>
      <c r="N441" s="19" t="str">
        <f t="shared" si="35"/>
        <v/>
      </c>
    </row>
    <row r="442" spans="2:14" x14ac:dyDescent="0.2">
      <c r="B442" s="15"/>
      <c r="C442" s="6"/>
      <c r="D442" s="12"/>
      <c r="E442" s="10" t="str">
        <f t="shared" si="31"/>
        <v/>
      </c>
      <c r="F442" s="16"/>
      <c r="G442" s="13"/>
      <c r="H442" s="6"/>
      <c r="I442" s="6"/>
      <c r="J442" s="11" t="str">
        <f t="shared" si="32"/>
        <v/>
      </c>
      <c r="K442" s="17" t="str">
        <f t="shared" si="33"/>
        <v/>
      </c>
      <c r="L442" s="18" t="str">
        <f t="shared" si="34"/>
        <v/>
      </c>
      <c r="M442" s="18" t="str">
        <f>IF(J442&lt;&gt;-1,"",ROUND(F442*IFERROR(INDEX(Stocuri!$G$5:$G$204,MATCH(D442,Coduri,0)),0),2))</f>
        <v/>
      </c>
      <c r="N442" s="19" t="str">
        <f t="shared" si="35"/>
        <v/>
      </c>
    </row>
    <row r="443" spans="2:14" x14ac:dyDescent="0.2">
      <c r="B443" s="15"/>
      <c r="C443" s="6"/>
      <c r="D443" s="12"/>
      <c r="E443" s="10" t="str">
        <f t="shared" si="31"/>
        <v/>
      </c>
      <c r="F443" s="16"/>
      <c r="G443" s="13"/>
      <c r="H443" s="6"/>
      <c r="I443" s="6"/>
      <c r="J443" s="11" t="str">
        <f t="shared" si="32"/>
        <v/>
      </c>
      <c r="K443" s="17" t="str">
        <f t="shared" si="33"/>
        <v/>
      </c>
      <c r="L443" s="18" t="str">
        <f t="shared" si="34"/>
        <v/>
      </c>
      <c r="M443" s="18" t="str">
        <f>IF(J443&lt;&gt;-1,"",ROUND(F443*IFERROR(INDEX(Stocuri!$G$5:$G$204,MATCH(D443,Coduri,0)),0),2))</f>
        <v/>
      </c>
      <c r="N443" s="19" t="str">
        <f t="shared" si="35"/>
        <v/>
      </c>
    </row>
    <row r="444" spans="2:14" x14ac:dyDescent="0.2">
      <c r="B444" s="15"/>
      <c r="C444" s="6"/>
      <c r="D444" s="12"/>
      <c r="E444" s="10" t="str">
        <f t="shared" si="31"/>
        <v/>
      </c>
      <c r="F444" s="16"/>
      <c r="G444" s="13"/>
      <c r="H444" s="6"/>
      <c r="I444" s="6"/>
      <c r="J444" s="11" t="str">
        <f t="shared" si="32"/>
        <v/>
      </c>
      <c r="K444" s="17" t="str">
        <f t="shared" si="33"/>
        <v/>
      </c>
      <c r="L444" s="18" t="str">
        <f t="shared" si="34"/>
        <v/>
      </c>
      <c r="M444" s="18" t="str">
        <f>IF(J444&lt;&gt;-1,"",ROUND(F444*IFERROR(INDEX(Stocuri!$G$5:$G$204,MATCH(D444,Coduri,0)),0),2))</f>
        <v/>
      </c>
      <c r="N444" s="19" t="str">
        <f t="shared" si="35"/>
        <v/>
      </c>
    </row>
    <row r="445" spans="2:14" x14ac:dyDescent="0.2">
      <c r="B445" s="15"/>
      <c r="C445" s="6"/>
      <c r="D445" s="12"/>
      <c r="E445" s="10" t="str">
        <f t="shared" si="31"/>
        <v/>
      </c>
      <c r="F445" s="16"/>
      <c r="G445" s="13"/>
      <c r="H445" s="6"/>
      <c r="I445" s="6"/>
      <c r="J445" s="11" t="str">
        <f t="shared" si="32"/>
        <v/>
      </c>
      <c r="K445" s="17" t="str">
        <f t="shared" si="33"/>
        <v/>
      </c>
      <c r="L445" s="18" t="str">
        <f t="shared" si="34"/>
        <v/>
      </c>
      <c r="M445" s="18" t="str">
        <f>IF(J445&lt;&gt;-1,"",ROUND(F445*IFERROR(INDEX(Stocuri!$G$5:$G$204,MATCH(D445,Coduri,0)),0),2))</f>
        <v/>
      </c>
      <c r="N445" s="19" t="str">
        <f t="shared" si="35"/>
        <v/>
      </c>
    </row>
    <row r="446" spans="2:14" x14ac:dyDescent="0.2">
      <c r="B446" s="15"/>
      <c r="C446" s="6"/>
      <c r="D446" s="12"/>
      <c r="E446" s="10" t="str">
        <f t="shared" si="31"/>
        <v/>
      </c>
      <c r="F446" s="16"/>
      <c r="G446" s="13"/>
      <c r="H446" s="6"/>
      <c r="I446" s="6"/>
      <c r="J446" s="11" t="str">
        <f t="shared" si="32"/>
        <v/>
      </c>
      <c r="K446" s="17" t="str">
        <f t="shared" si="33"/>
        <v/>
      </c>
      <c r="L446" s="18" t="str">
        <f t="shared" si="34"/>
        <v/>
      </c>
      <c r="M446" s="18" t="str">
        <f>IF(J446&lt;&gt;-1,"",ROUND(F446*IFERROR(INDEX(Stocuri!$G$5:$G$204,MATCH(D446,Coduri,0)),0),2))</f>
        <v/>
      </c>
      <c r="N446" s="19" t="str">
        <f t="shared" si="35"/>
        <v/>
      </c>
    </row>
    <row r="447" spans="2:14" x14ac:dyDescent="0.2">
      <c r="B447" s="15"/>
      <c r="C447" s="6"/>
      <c r="D447" s="12"/>
      <c r="E447" s="10" t="str">
        <f t="shared" si="31"/>
        <v/>
      </c>
      <c r="F447" s="16"/>
      <c r="G447" s="13"/>
      <c r="H447" s="6"/>
      <c r="I447" s="6"/>
      <c r="J447" s="11" t="str">
        <f t="shared" si="32"/>
        <v/>
      </c>
      <c r="K447" s="17" t="str">
        <f t="shared" si="33"/>
        <v/>
      </c>
      <c r="L447" s="18" t="str">
        <f t="shared" si="34"/>
        <v/>
      </c>
      <c r="M447" s="18" t="str">
        <f>IF(J447&lt;&gt;-1,"",ROUND(F447*IFERROR(INDEX(Stocuri!$G$5:$G$204,MATCH(D447,Coduri,0)),0),2))</f>
        <v/>
      </c>
      <c r="N447" s="19" t="str">
        <f t="shared" si="35"/>
        <v/>
      </c>
    </row>
    <row r="448" spans="2:14" x14ac:dyDescent="0.2">
      <c r="B448" s="15"/>
      <c r="C448" s="6"/>
      <c r="D448" s="12"/>
      <c r="E448" s="10" t="str">
        <f t="shared" si="31"/>
        <v/>
      </c>
      <c r="F448" s="16"/>
      <c r="G448" s="13"/>
      <c r="H448" s="6"/>
      <c r="I448" s="6"/>
      <c r="J448" s="11" t="str">
        <f t="shared" si="32"/>
        <v/>
      </c>
      <c r="K448" s="17" t="str">
        <f t="shared" si="33"/>
        <v/>
      </c>
      <c r="L448" s="18" t="str">
        <f t="shared" si="34"/>
        <v/>
      </c>
      <c r="M448" s="18" t="str">
        <f>IF(J448&lt;&gt;-1,"",ROUND(F448*IFERROR(INDEX(Stocuri!$G$5:$G$204,MATCH(D448,Coduri,0)),0),2))</f>
        <v/>
      </c>
      <c r="N448" s="19" t="str">
        <f t="shared" si="35"/>
        <v/>
      </c>
    </row>
    <row r="449" spans="2:14" x14ac:dyDescent="0.2">
      <c r="B449" s="15"/>
      <c r="C449" s="6"/>
      <c r="D449" s="12"/>
      <c r="E449" s="10" t="str">
        <f t="shared" si="31"/>
        <v/>
      </c>
      <c r="F449" s="16"/>
      <c r="G449" s="13"/>
      <c r="H449" s="6"/>
      <c r="I449" s="6"/>
      <c r="J449" s="11" t="str">
        <f t="shared" si="32"/>
        <v/>
      </c>
      <c r="K449" s="17" t="str">
        <f t="shared" si="33"/>
        <v/>
      </c>
      <c r="L449" s="18" t="str">
        <f t="shared" si="34"/>
        <v/>
      </c>
      <c r="M449" s="18" t="str">
        <f>IF(J449&lt;&gt;-1,"",ROUND(F449*IFERROR(INDEX(Stocuri!$G$5:$G$204,MATCH(D449,Coduri,0)),0),2))</f>
        <v/>
      </c>
      <c r="N449" s="19" t="str">
        <f t="shared" si="35"/>
        <v/>
      </c>
    </row>
    <row r="450" spans="2:14" x14ac:dyDescent="0.2">
      <c r="B450" s="15"/>
      <c r="C450" s="6"/>
      <c r="D450" s="12"/>
      <c r="E450" s="10" t="str">
        <f t="shared" si="31"/>
        <v/>
      </c>
      <c r="F450" s="16"/>
      <c r="G450" s="13"/>
      <c r="H450" s="6"/>
      <c r="I450" s="6"/>
      <c r="J450" s="11" t="str">
        <f t="shared" si="32"/>
        <v/>
      </c>
      <c r="K450" s="17" t="str">
        <f t="shared" si="33"/>
        <v/>
      </c>
      <c r="L450" s="18" t="str">
        <f t="shared" si="34"/>
        <v/>
      </c>
      <c r="M450" s="18" t="str">
        <f>IF(J450&lt;&gt;-1,"",ROUND(F450*IFERROR(INDEX(Stocuri!$G$5:$G$204,MATCH(D450,Coduri,0)),0),2))</f>
        <v/>
      </c>
      <c r="N450" s="19" t="str">
        <f t="shared" si="35"/>
        <v/>
      </c>
    </row>
    <row r="451" spans="2:14" x14ac:dyDescent="0.2">
      <c r="B451" s="15"/>
      <c r="C451" s="6"/>
      <c r="D451" s="12"/>
      <c r="E451" s="10" t="str">
        <f t="shared" si="31"/>
        <v/>
      </c>
      <c r="F451" s="16"/>
      <c r="G451" s="13"/>
      <c r="H451" s="6"/>
      <c r="I451" s="6"/>
      <c r="J451" s="11" t="str">
        <f t="shared" si="32"/>
        <v/>
      </c>
      <c r="K451" s="17" t="str">
        <f t="shared" si="33"/>
        <v/>
      </c>
      <c r="L451" s="18" t="str">
        <f t="shared" si="34"/>
        <v/>
      </c>
      <c r="M451" s="18" t="str">
        <f>IF(J451&lt;&gt;-1,"",ROUND(F451*IFERROR(INDEX(Stocuri!$G$5:$G$204,MATCH(D451,Coduri,0)),0),2))</f>
        <v/>
      </c>
      <c r="N451" s="19" t="str">
        <f t="shared" si="35"/>
        <v/>
      </c>
    </row>
    <row r="452" spans="2:14" x14ac:dyDescent="0.2">
      <c r="B452" s="15"/>
      <c r="C452" s="6"/>
      <c r="D452" s="12"/>
      <c r="E452" s="10" t="str">
        <f t="shared" si="31"/>
        <v/>
      </c>
      <c r="F452" s="16"/>
      <c r="G452" s="13"/>
      <c r="H452" s="6"/>
      <c r="I452" s="6"/>
      <c r="J452" s="11" t="str">
        <f t="shared" si="32"/>
        <v/>
      </c>
      <c r="K452" s="17" t="str">
        <f t="shared" si="33"/>
        <v/>
      </c>
      <c r="L452" s="18" t="str">
        <f t="shared" si="34"/>
        <v/>
      </c>
      <c r="M452" s="18" t="str">
        <f>IF(J452&lt;&gt;-1,"",ROUND(F452*IFERROR(INDEX(Stocuri!$G$5:$G$204,MATCH(D452,Coduri,0)),0),2))</f>
        <v/>
      </c>
      <c r="N452" s="19" t="str">
        <f t="shared" si="35"/>
        <v/>
      </c>
    </row>
    <row r="453" spans="2:14" x14ac:dyDescent="0.2">
      <c r="B453" s="15"/>
      <c r="C453" s="6"/>
      <c r="D453" s="12"/>
      <c r="E453" s="10" t="str">
        <f t="shared" ref="E453:E516" si="36">IF(D453="","",IFERROR(VLOOKUP(D453,Catalog,2,FALSE),""))</f>
        <v/>
      </c>
      <c r="F453" s="16"/>
      <c r="G453" s="13"/>
      <c r="H453" s="6"/>
      <c r="I453" s="6"/>
      <c r="J453" s="11" t="str">
        <f t="shared" ref="J453:J516" si="37">IF(C453="","",IFERROR(VLOOKUP(C453,TipSemn,2,FALSE),""))</f>
        <v/>
      </c>
      <c r="K453" s="17" t="str">
        <f t="shared" ref="K453:K516" si="38">IF(OR(J453="",F453=""),"",J453*F453)</f>
        <v/>
      </c>
      <c r="L453" s="18" t="str">
        <f t="shared" ref="L453:L516" si="39">IF(OR(J453&lt;&gt;1,G453=""),"",ROUND(F453*G453,2))</f>
        <v/>
      </c>
      <c r="M453" s="18" t="str">
        <f>IF(J453&lt;&gt;-1,"",ROUND(F453*IFERROR(INDEX(Stocuri!$G$5:$G$204,MATCH(D453,Coduri,0)),0),2))</f>
        <v/>
      </c>
      <c r="N453" s="19" t="str">
        <f t="shared" ref="N453:N516" si="40">IF(AND(B453="",D453=""),"",TRIM(IF(OR(B453="",C453="",D453="",F453=""),"Date incomplete. ","")&amp;IF(AND(D453&lt;&gt;"",E453=""),"Cod necunoscut. ","")&amp;IF(AND(J453=1,C453&lt;&gt;"Retur de la client",C453&lt;&gt;"Ajustare inventar +",G453=""),"Lipsește prețul de intrare. ","")&amp;IF(AND(J453=-1,D453&lt;&gt;"",SUMIFS($K$5:$K$2004,$D$5:$D$2004,D453,$B$5:$B$2004,"&lt;="&amp;B453)&lt;0),"Stoc insuficient la această dată. ","")&amp;IF(AND(C453&lt;&gt;"Stoc inițial",H453=""),"Lipsește documentul. ","")))</f>
        <v/>
      </c>
    </row>
    <row r="454" spans="2:14" x14ac:dyDescent="0.2">
      <c r="B454" s="15"/>
      <c r="C454" s="6"/>
      <c r="D454" s="12"/>
      <c r="E454" s="10" t="str">
        <f t="shared" si="36"/>
        <v/>
      </c>
      <c r="F454" s="16"/>
      <c r="G454" s="13"/>
      <c r="H454" s="6"/>
      <c r="I454" s="6"/>
      <c r="J454" s="11" t="str">
        <f t="shared" si="37"/>
        <v/>
      </c>
      <c r="K454" s="17" t="str">
        <f t="shared" si="38"/>
        <v/>
      </c>
      <c r="L454" s="18" t="str">
        <f t="shared" si="39"/>
        <v/>
      </c>
      <c r="M454" s="18" t="str">
        <f>IF(J454&lt;&gt;-1,"",ROUND(F454*IFERROR(INDEX(Stocuri!$G$5:$G$204,MATCH(D454,Coduri,0)),0),2))</f>
        <v/>
      </c>
      <c r="N454" s="19" t="str">
        <f t="shared" si="40"/>
        <v/>
      </c>
    </row>
    <row r="455" spans="2:14" x14ac:dyDescent="0.2">
      <c r="B455" s="15"/>
      <c r="C455" s="6"/>
      <c r="D455" s="12"/>
      <c r="E455" s="10" t="str">
        <f t="shared" si="36"/>
        <v/>
      </c>
      <c r="F455" s="16"/>
      <c r="G455" s="13"/>
      <c r="H455" s="6"/>
      <c r="I455" s="6"/>
      <c r="J455" s="11" t="str">
        <f t="shared" si="37"/>
        <v/>
      </c>
      <c r="K455" s="17" t="str">
        <f t="shared" si="38"/>
        <v/>
      </c>
      <c r="L455" s="18" t="str">
        <f t="shared" si="39"/>
        <v/>
      </c>
      <c r="M455" s="18" t="str">
        <f>IF(J455&lt;&gt;-1,"",ROUND(F455*IFERROR(INDEX(Stocuri!$G$5:$G$204,MATCH(D455,Coduri,0)),0),2))</f>
        <v/>
      </c>
      <c r="N455" s="19" t="str">
        <f t="shared" si="40"/>
        <v/>
      </c>
    </row>
    <row r="456" spans="2:14" x14ac:dyDescent="0.2">
      <c r="B456" s="15"/>
      <c r="C456" s="6"/>
      <c r="D456" s="12"/>
      <c r="E456" s="10" t="str">
        <f t="shared" si="36"/>
        <v/>
      </c>
      <c r="F456" s="16"/>
      <c r="G456" s="13"/>
      <c r="H456" s="6"/>
      <c r="I456" s="6"/>
      <c r="J456" s="11" t="str">
        <f t="shared" si="37"/>
        <v/>
      </c>
      <c r="K456" s="17" t="str">
        <f t="shared" si="38"/>
        <v/>
      </c>
      <c r="L456" s="18" t="str">
        <f t="shared" si="39"/>
        <v/>
      </c>
      <c r="M456" s="18" t="str">
        <f>IF(J456&lt;&gt;-1,"",ROUND(F456*IFERROR(INDEX(Stocuri!$G$5:$G$204,MATCH(D456,Coduri,0)),0),2))</f>
        <v/>
      </c>
      <c r="N456" s="19" t="str">
        <f t="shared" si="40"/>
        <v/>
      </c>
    </row>
    <row r="457" spans="2:14" x14ac:dyDescent="0.2">
      <c r="B457" s="15"/>
      <c r="C457" s="6"/>
      <c r="D457" s="12"/>
      <c r="E457" s="10" t="str">
        <f t="shared" si="36"/>
        <v/>
      </c>
      <c r="F457" s="16"/>
      <c r="G457" s="13"/>
      <c r="H457" s="6"/>
      <c r="I457" s="6"/>
      <c r="J457" s="11" t="str">
        <f t="shared" si="37"/>
        <v/>
      </c>
      <c r="K457" s="17" t="str">
        <f t="shared" si="38"/>
        <v/>
      </c>
      <c r="L457" s="18" t="str">
        <f t="shared" si="39"/>
        <v/>
      </c>
      <c r="M457" s="18" t="str">
        <f>IF(J457&lt;&gt;-1,"",ROUND(F457*IFERROR(INDEX(Stocuri!$G$5:$G$204,MATCH(D457,Coduri,0)),0),2))</f>
        <v/>
      </c>
      <c r="N457" s="19" t="str">
        <f t="shared" si="40"/>
        <v/>
      </c>
    </row>
    <row r="458" spans="2:14" x14ac:dyDescent="0.2">
      <c r="B458" s="15"/>
      <c r="C458" s="6"/>
      <c r="D458" s="12"/>
      <c r="E458" s="10" t="str">
        <f t="shared" si="36"/>
        <v/>
      </c>
      <c r="F458" s="16"/>
      <c r="G458" s="13"/>
      <c r="H458" s="6"/>
      <c r="I458" s="6"/>
      <c r="J458" s="11" t="str">
        <f t="shared" si="37"/>
        <v/>
      </c>
      <c r="K458" s="17" t="str">
        <f t="shared" si="38"/>
        <v/>
      </c>
      <c r="L458" s="18" t="str">
        <f t="shared" si="39"/>
        <v/>
      </c>
      <c r="M458" s="18" t="str">
        <f>IF(J458&lt;&gt;-1,"",ROUND(F458*IFERROR(INDEX(Stocuri!$G$5:$G$204,MATCH(D458,Coduri,0)),0),2))</f>
        <v/>
      </c>
      <c r="N458" s="19" t="str">
        <f t="shared" si="40"/>
        <v/>
      </c>
    </row>
    <row r="459" spans="2:14" x14ac:dyDescent="0.2">
      <c r="B459" s="15"/>
      <c r="C459" s="6"/>
      <c r="D459" s="12"/>
      <c r="E459" s="10" t="str">
        <f t="shared" si="36"/>
        <v/>
      </c>
      <c r="F459" s="16"/>
      <c r="G459" s="13"/>
      <c r="H459" s="6"/>
      <c r="I459" s="6"/>
      <c r="J459" s="11" t="str">
        <f t="shared" si="37"/>
        <v/>
      </c>
      <c r="K459" s="17" t="str">
        <f t="shared" si="38"/>
        <v/>
      </c>
      <c r="L459" s="18" t="str">
        <f t="shared" si="39"/>
        <v/>
      </c>
      <c r="M459" s="18" t="str">
        <f>IF(J459&lt;&gt;-1,"",ROUND(F459*IFERROR(INDEX(Stocuri!$G$5:$G$204,MATCH(D459,Coduri,0)),0),2))</f>
        <v/>
      </c>
      <c r="N459" s="19" t="str">
        <f t="shared" si="40"/>
        <v/>
      </c>
    </row>
    <row r="460" spans="2:14" x14ac:dyDescent="0.2">
      <c r="B460" s="15"/>
      <c r="C460" s="6"/>
      <c r="D460" s="12"/>
      <c r="E460" s="10" t="str">
        <f t="shared" si="36"/>
        <v/>
      </c>
      <c r="F460" s="16"/>
      <c r="G460" s="13"/>
      <c r="H460" s="6"/>
      <c r="I460" s="6"/>
      <c r="J460" s="11" t="str">
        <f t="shared" si="37"/>
        <v/>
      </c>
      <c r="K460" s="17" t="str">
        <f t="shared" si="38"/>
        <v/>
      </c>
      <c r="L460" s="18" t="str">
        <f t="shared" si="39"/>
        <v/>
      </c>
      <c r="M460" s="18" t="str">
        <f>IF(J460&lt;&gt;-1,"",ROUND(F460*IFERROR(INDEX(Stocuri!$G$5:$G$204,MATCH(D460,Coduri,0)),0),2))</f>
        <v/>
      </c>
      <c r="N460" s="19" t="str">
        <f t="shared" si="40"/>
        <v/>
      </c>
    </row>
    <row r="461" spans="2:14" x14ac:dyDescent="0.2">
      <c r="B461" s="15"/>
      <c r="C461" s="6"/>
      <c r="D461" s="12"/>
      <c r="E461" s="10" t="str">
        <f t="shared" si="36"/>
        <v/>
      </c>
      <c r="F461" s="16"/>
      <c r="G461" s="13"/>
      <c r="H461" s="6"/>
      <c r="I461" s="6"/>
      <c r="J461" s="11" t="str">
        <f t="shared" si="37"/>
        <v/>
      </c>
      <c r="K461" s="17" t="str">
        <f t="shared" si="38"/>
        <v/>
      </c>
      <c r="L461" s="18" t="str">
        <f t="shared" si="39"/>
        <v/>
      </c>
      <c r="M461" s="18" t="str">
        <f>IF(J461&lt;&gt;-1,"",ROUND(F461*IFERROR(INDEX(Stocuri!$G$5:$G$204,MATCH(D461,Coduri,0)),0),2))</f>
        <v/>
      </c>
      <c r="N461" s="19" t="str">
        <f t="shared" si="40"/>
        <v/>
      </c>
    </row>
    <row r="462" spans="2:14" x14ac:dyDescent="0.2">
      <c r="B462" s="15"/>
      <c r="C462" s="6"/>
      <c r="D462" s="12"/>
      <c r="E462" s="10" t="str">
        <f t="shared" si="36"/>
        <v/>
      </c>
      <c r="F462" s="16"/>
      <c r="G462" s="13"/>
      <c r="H462" s="6"/>
      <c r="I462" s="6"/>
      <c r="J462" s="11" t="str">
        <f t="shared" si="37"/>
        <v/>
      </c>
      <c r="K462" s="17" t="str">
        <f t="shared" si="38"/>
        <v/>
      </c>
      <c r="L462" s="18" t="str">
        <f t="shared" si="39"/>
        <v/>
      </c>
      <c r="M462" s="18" t="str">
        <f>IF(J462&lt;&gt;-1,"",ROUND(F462*IFERROR(INDEX(Stocuri!$G$5:$G$204,MATCH(D462,Coduri,0)),0),2))</f>
        <v/>
      </c>
      <c r="N462" s="19" t="str">
        <f t="shared" si="40"/>
        <v/>
      </c>
    </row>
    <row r="463" spans="2:14" x14ac:dyDescent="0.2">
      <c r="B463" s="15"/>
      <c r="C463" s="6"/>
      <c r="D463" s="12"/>
      <c r="E463" s="10" t="str">
        <f t="shared" si="36"/>
        <v/>
      </c>
      <c r="F463" s="16"/>
      <c r="G463" s="13"/>
      <c r="H463" s="6"/>
      <c r="I463" s="6"/>
      <c r="J463" s="11" t="str">
        <f t="shared" si="37"/>
        <v/>
      </c>
      <c r="K463" s="17" t="str">
        <f t="shared" si="38"/>
        <v/>
      </c>
      <c r="L463" s="18" t="str">
        <f t="shared" si="39"/>
        <v/>
      </c>
      <c r="M463" s="18" t="str">
        <f>IF(J463&lt;&gt;-1,"",ROUND(F463*IFERROR(INDEX(Stocuri!$G$5:$G$204,MATCH(D463,Coduri,0)),0),2))</f>
        <v/>
      </c>
      <c r="N463" s="19" t="str">
        <f t="shared" si="40"/>
        <v/>
      </c>
    </row>
    <row r="464" spans="2:14" x14ac:dyDescent="0.2">
      <c r="B464" s="15"/>
      <c r="C464" s="6"/>
      <c r="D464" s="12"/>
      <c r="E464" s="10" t="str">
        <f t="shared" si="36"/>
        <v/>
      </c>
      <c r="F464" s="16"/>
      <c r="G464" s="13"/>
      <c r="H464" s="6"/>
      <c r="I464" s="6"/>
      <c r="J464" s="11" t="str">
        <f t="shared" si="37"/>
        <v/>
      </c>
      <c r="K464" s="17" t="str">
        <f t="shared" si="38"/>
        <v/>
      </c>
      <c r="L464" s="18" t="str">
        <f t="shared" si="39"/>
        <v/>
      </c>
      <c r="M464" s="18" t="str">
        <f>IF(J464&lt;&gt;-1,"",ROUND(F464*IFERROR(INDEX(Stocuri!$G$5:$G$204,MATCH(D464,Coduri,0)),0),2))</f>
        <v/>
      </c>
      <c r="N464" s="19" t="str">
        <f t="shared" si="40"/>
        <v/>
      </c>
    </row>
    <row r="465" spans="2:14" x14ac:dyDescent="0.2">
      <c r="B465" s="15"/>
      <c r="C465" s="6"/>
      <c r="D465" s="12"/>
      <c r="E465" s="10" t="str">
        <f t="shared" si="36"/>
        <v/>
      </c>
      <c r="F465" s="16"/>
      <c r="G465" s="13"/>
      <c r="H465" s="6"/>
      <c r="I465" s="6"/>
      <c r="J465" s="11" t="str">
        <f t="shared" si="37"/>
        <v/>
      </c>
      <c r="K465" s="17" t="str">
        <f t="shared" si="38"/>
        <v/>
      </c>
      <c r="L465" s="18" t="str">
        <f t="shared" si="39"/>
        <v/>
      </c>
      <c r="M465" s="18" t="str">
        <f>IF(J465&lt;&gt;-1,"",ROUND(F465*IFERROR(INDEX(Stocuri!$G$5:$G$204,MATCH(D465,Coduri,0)),0),2))</f>
        <v/>
      </c>
      <c r="N465" s="19" t="str">
        <f t="shared" si="40"/>
        <v/>
      </c>
    </row>
    <row r="466" spans="2:14" x14ac:dyDescent="0.2">
      <c r="B466" s="15"/>
      <c r="C466" s="6"/>
      <c r="D466" s="12"/>
      <c r="E466" s="10" t="str">
        <f t="shared" si="36"/>
        <v/>
      </c>
      <c r="F466" s="16"/>
      <c r="G466" s="13"/>
      <c r="H466" s="6"/>
      <c r="I466" s="6"/>
      <c r="J466" s="11" t="str">
        <f t="shared" si="37"/>
        <v/>
      </c>
      <c r="K466" s="17" t="str">
        <f t="shared" si="38"/>
        <v/>
      </c>
      <c r="L466" s="18" t="str">
        <f t="shared" si="39"/>
        <v/>
      </c>
      <c r="M466" s="18" t="str">
        <f>IF(J466&lt;&gt;-1,"",ROUND(F466*IFERROR(INDEX(Stocuri!$G$5:$G$204,MATCH(D466,Coduri,0)),0),2))</f>
        <v/>
      </c>
      <c r="N466" s="19" t="str">
        <f t="shared" si="40"/>
        <v/>
      </c>
    </row>
    <row r="467" spans="2:14" x14ac:dyDescent="0.2">
      <c r="B467" s="15"/>
      <c r="C467" s="6"/>
      <c r="D467" s="12"/>
      <c r="E467" s="10" t="str">
        <f t="shared" si="36"/>
        <v/>
      </c>
      <c r="F467" s="16"/>
      <c r="G467" s="13"/>
      <c r="H467" s="6"/>
      <c r="I467" s="6"/>
      <c r="J467" s="11" t="str">
        <f t="shared" si="37"/>
        <v/>
      </c>
      <c r="K467" s="17" t="str">
        <f t="shared" si="38"/>
        <v/>
      </c>
      <c r="L467" s="18" t="str">
        <f t="shared" si="39"/>
        <v/>
      </c>
      <c r="M467" s="18" t="str">
        <f>IF(J467&lt;&gt;-1,"",ROUND(F467*IFERROR(INDEX(Stocuri!$G$5:$G$204,MATCH(D467,Coduri,0)),0),2))</f>
        <v/>
      </c>
      <c r="N467" s="19" t="str">
        <f t="shared" si="40"/>
        <v/>
      </c>
    </row>
    <row r="468" spans="2:14" x14ac:dyDescent="0.2">
      <c r="B468" s="15"/>
      <c r="C468" s="6"/>
      <c r="D468" s="12"/>
      <c r="E468" s="10" t="str">
        <f t="shared" si="36"/>
        <v/>
      </c>
      <c r="F468" s="16"/>
      <c r="G468" s="13"/>
      <c r="H468" s="6"/>
      <c r="I468" s="6"/>
      <c r="J468" s="11" t="str">
        <f t="shared" si="37"/>
        <v/>
      </c>
      <c r="K468" s="17" t="str">
        <f t="shared" si="38"/>
        <v/>
      </c>
      <c r="L468" s="18" t="str">
        <f t="shared" si="39"/>
        <v/>
      </c>
      <c r="M468" s="18" t="str">
        <f>IF(J468&lt;&gt;-1,"",ROUND(F468*IFERROR(INDEX(Stocuri!$G$5:$G$204,MATCH(D468,Coduri,0)),0),2))</f>
        <v/>
      </c>
      <c r="N468" s="19" t="str">
        <f t="shared" si="40"/>
        <v/>
      </c>
    </row>
    <row r="469" spans="2:14" x14ac:dyDescent="0.2">
      <c r="B469" s="15"/>
      <c r="C469" s="6"/>
      <c r="D469" s="12"/>
      <c r="E469" s="10" t="str">
        <f t="shared" si="36"/>
        <v/>
      </c>
      <c r="F469" s="16"/>
      <c r="G469" s="13"/>
      <c r="H469" s="6"/>
      <c r="I469" s="6"/>
      <c r="J469" s="11" t="str">
        <f t="shared" si="37"/>
        <v/>
      </c>
      <c r="K469" s="17" t="str">
        <f t="shared" si="38"/>
        <v/>
      </c>
      <c r="L469" s="18" t="str">
        <f t="shared" si="39"/>
        <v/>
      </c>
      <c r="M469" s="18" t="str">
        <f>IF(J469&lt;&gt;-1,"",ROUND(F469*IFERROR(INDEX(Stocuri!$G$5:$G$204,MATCH(D469,Coduri,0)),0),2))</f>
        <v/>
      </c>
      <c r="N469" s="19" t="str">
        <f t="shared" si="40"/>
        <v/>
      </c>
    </row>
    <row r="470" spans="2:14" x14ac:dyDescent="0.2">
      <c r="B470" s="15"/>
      <c r="C470" s="6"/>
      <c r="D470" s="12"/>
      <c r="E470" s="10" t="str">
        <f t="shared" si="36"/>
        <v/>
      </c>
      <c r="F470" s="16"/>
      <c r="G470" s="13"/>
      <c r="H470" s="6"/>
      <c r="I470" s="6"/>
      <c r="J470" s="11" t="str">
        <f t="shared" si="37"/>
        <v/>
      </c>
      <c r="K470" s="17" t="str">
        <f t="shared" si="38"/>
        <v/>
      </c>
      <c r="L470" s="18" t="str">
        <f t="shared" si="39"/>
        <v/>
      </c>
      <c r="M470" s="18" t="str">
        <f>IF(J470&lt;&gt;-1,"",ROUND(F470*IFERROR(INDEX(Stocuri!$G$5:$G$204,MATCH(D470,Coduri,0)),0),2))</f>
        <v/>
      </c>
      <c r="N470" s="19" t="str">
        <f t="shared" si="40"/>
        <v/>
      </c>
    </row>
    <row r="471" spans="2:14" x14ac:dyDescent="0.2">
      <c r="B471" s="15"/>
      <c r="C471" s="6"/>
      <c r="D471" s="12"/>
      <c r="E471" s="10" t="str">
        <f t="shared" si="36"/>
        <v/>
      </c>
      <c r="F471" s="16"/>
      <c r="G471" s="13"/>
      <c r="H471" s="6"/>
      <c r="I471" s="6"/>
      <c r="J471" s="11" t="str">
        <f t="shared" si="37"/>
        <v/>
      </c>
      <c r="K471" s="17" t="str">
        <f t="shared" si="38"/>
        <v/>
      </c>
      <c r="L471" s="18" t="str">
        <f t="shared" si="39"/>
        <v/>
      </c>
      <c r="M471" s="18" t="str">
        <f>IF(J471&lt;&gt;-1,"",ROUND(F471*IFERROR(INDEX(Stocuri!$G$5:$G$204,MATCH(D471,Coduri,0)),0),2))</f>
        <v/>
      </c>
      <c r="N471" s="19" t="str">
        <f t="shared" si="40"/>
        <v/>
      </c>
    </row>
    <row r="472" spans="2:14" x14ac:dyDescent="0.2">
      <c r="B472" s="15"/>
      <c r="C472" s="6"/>
      <c r="D472" s="12"/>
      <c r="E472" s="10" t="str">
        <f t="shared" si="36"/>
        <v/>
      </c>
      <c r="F472" s="16"/>
      <c r="G472" s="13"/>
      <c r="H472" s="6"/>
      <c r="I472" s="6"/>
      <c r="J472" s="11" t="str">
        <f t="shared" si="37"/>
        <v/>
      </c>
      <c r="K472" s="17" t="str">
        <f t="shared" si="38"/>
        <v/>
      </c>
      <c r="L472" s="18" t="str">
        <f t="shared" si="39"/>
        <v/>
      </c>
      <c r="M472" s="18" t="str">
        <f>IF(J472&lt;&gt;-1,"",ROUND(F472*IFERROR(INDEX(Stocuri!$G$5:$G$204,MATCH(D472,Coduri,0)),0),2))</f>
        <v/>
      </c>
      <c r="N472" s="19" t="str">
        <f t="shared" si="40"/>
        <v/>
      </c>
    </row>
    <row r="473" spans="2:14" x14ac:dyDescent="0.2">
      <c r="B473" s="15"/>
      <c r="C473" s="6"/>
      <c r="D473" s="12"/>
      <c r="E473" s="10" t="str">
        <f t="shared" si="36"/>
        <v/>
      </c>
      <c r="F473" s="16"/>
      <c r="G473" s="13"/>
      <c r="H473" s="6"/>
      <c r="I473" s="6"/>
      <c r="J473" s="11" t="str">
        <f t="shared" si="37"/>
        <v/>
      </c>
      <c r="K473" s="17" t="str">
        <f t="shared" si="38"/>
        <v/>
      </c>
      <c r="L473" s="18" t="str">
        <f t="shared" si="39"/>
        <v/>
      </c>
      <c r="M473" s="18" t="str">
        <f>IF(J473&lt;&gt;-1,"",ROUND(F473*IFERROR(INDEX(Stocuri!$G$5:$G$204,MATCH(D473,Coduri,0)),0),2))</f>
        <v/>
      </c>
      <c r="N473" s="19" t="str">
        <f t="shared" si="40"/>
        <v/>
      </c>
    </row>
    <row r="474" spans="2:14" x14ac:dyDescent="0.2">
      <c r="B474" s="15"/>
      <c r="C474" s="6"/>
      <c r="D474" s="12"/>
      <c r="E474" s="10" t="str">
        <f t="shared" si="36"/>
        <v/>
      </c>
      <c r="F474" s="16"/>
      <c r="G474" s="13"/>
      <c r="H474" s="6"/>
      <c r="I474" s="6"/>
      <c r="J474" s="11" t="str">
        <f t="shared" si="37"/>
        <v/>
      </c>
      <c r="K474" s="17" t="str">
        <f t="shared" si="38"/>
        <v/>
      </c>
      <c r="L474" s="18" t="str">
        <f t="shared" si="39"/>
        <v/>
      </c>
      <c r="M474" s="18" t="str">
        <f>IF(J474&lt;&gt;-1,"",ROUND(F474*IFERROR(INDEX(Stocuri!$G$5:$G$204,MATCH(D474,Coduri,0)),0),2))</f>
        <v/>
      </c>
      <c r="N474" s="19" t="str">
        <f t="shared" si="40"/>
        <v/>
      </c>
    </row>
    <row r="475" spans="2:14" x14ac:dyDescent="0.2">
      <c r="B475" s="15"/>
      <c r="C475" s="6"/>
      <c r="D475" s="12"/>
      <c r="E475" s="10" t="str">
        <f t="shared" si="36"/>
        <v/>
      </c>
      <c r="F475" s="16"/>
      <c r="G475" s="13"/>
      <c r="H475" s="6"/>
      <c r="I475" s="6"/>
      <c r="J475" s="11" t="str">
        <f t="shared" si="37"/>
        <v/>
      </c>
      <c r="K475" s="17" t="str">
        <f t="shared" si="38"/>
        <v/>
      </c>
      <c r="L475" s="18" t="str">
        <f t="shared" si="39"/>
        <v/>
      </c>
      <c r="M475" s="18" t="str">
        <f>IF(J475&lt;&gt;-1,"",ROUND(F475*IFERROR(INDEX(Stocuri!$G$5:$G$204,MATCH(D475,Coduri,0)),0),2))</f>
        <v/>
      </c>
      <c r="N475" s="19" t="str">
        <f t="shared" si="40"/>
        <v/>
      </c>
    </row>
    <row r="476" spans="2:14" x14ac:dyDescent="0.2">
      <c r="B476" s="15"/>
      <c r="C476" s="6"/>
      <c r="D476" s="12"/>
      <c r="E476" s="10" t="str">
        <f t="shared" si="36"/>
        <v/>
      </c>
      <c r="F476" s="16"/>
      <c r="G476" s="13"/>
      <c r="H476" s="6"/>
      <c r="I476" s="6"/>
      <c r="J476" s="11" t="str">
        <f t="shared" si="37"/>
        <v/>
      </c>
      <c r="K476" s="17" t="str">
        <f t="shared" si="38"/>
        <v/>
      </c>
      <c r="L476" s="18" t="str">
        <f t="shared" si="39"/>
        <v/>
      </c>
      <c r="M476" s="18" t="str">
        <f>IF(J476&lt;&gt;-1,"",ROUND(F476*IFERROR(INDEX(Stocuri!$G$5:$G$204,MATCH(D476,Coduri,0)),0),2))</f>
        <v/>
      </c>
      <c r="N476" s="19" t="str">
        <f t="shared" si="40"/>
        <v/>
      </c>
    </row>
    <row r="477" spans="2:14" x14ac:dyDescent="0.2">
      <c r="B477" s="15"/>
      <c r="C477" s="6"/>
      <c r="D477" s="12"/>
      <c r="E477" s="10" t="str">
        <f t="shared" si="36"/>
        <v/>
      </c>
      <c r="F477" s="16"/>
      <c r="G477" s="13"/>
      <c r="H477" s="6"/>
      <c r="I477" s="6"/>
      <c r="J477" s="11" t="str">
        <f t="shared" si="37"/>
        <v/>
      </c>
      <c r="K477" s="17" t="str">
        <f t="shared" si="38"/>
        <v/>
      </c>
      <c r="L477" s="18" t="str">
        <f t="shared" si="39"/>
        <v/>
      </c>
      <c r="M477" s="18" t="str">
        <f>IF(J477&lt;&gt;-1,"",ROUND(F477*IFERROR(INDEX(Stocuri!$G$5:$G$204,MATCH(D477,Coduri,0)),0),2))</f>
        <v/>
      </c>
      <c r="N477" s="19" t="str">
        <f t="shared" si="40"/>
        <v/>
      </c>
    </row>
    <row r="478" spans="2:14" x14ac:dyDescent="0.2">
      <c r="B478" s="15"/>
      <c r="C478" s="6"/>
      <c r="D478" s="12"/>
      <c r="E478" s="10" t="str">
        <f t="shared" si="36"/>
        <v/>
      </c>
      <c r="F478" s="16"/>
      <c r="G478" s="13"/>
      <c r="H478" s="6"/>
      <c r="I478" s="6"/>
      <c r="J478" s="11" t="str">
        <f t="shared" si="37"/>
        <v/>
      </c>
      <c r="K478" s="17" t="str">
        <f t="shared" si="38"/>
        <v/>
      </c>
      <c r="L478" s="18" t="str">
        <f t="shared" si="39"/>
        <v/>
      </c>
      <c r="M478" s="18" t="str">
        <f>IF(J478&lt;&gt;-1,"",ROUND(F478*IFERROR(INDEX(Stocuri!$G$5:$G$204,MATCH(D478,Coduri,0)),0),2))</f>
        <v/>
      </c>
      <c r="N478" s="19" t="str">
        <f t="shared" si="40"/>
        <v/>
      </c>
    </row>
    <row r="479" spans="2:14" x14ac:dyDescent="0.2">
      <c r="B479" s="15"/>
      <c r="C479" s="6"/>
      <c r="D479" s="12"/>
      <c r="E479" s="10" t="str">
        <f t="shared" si="36"/>
        <v/>
      </c>
      <c r="F479" s="16"/>
      <c r="G479" s="13"/>
      <c r="H479" s="6"/>
      <c r="I479" s="6"/>
      <c r="J479" s="11" t="str">
        <f t="shared" si="37"/>
        <v/>
      </c>
      <c r="K479" s="17" t="str">
        <f t="shared" si="38"/>
        <v/>
      </c>
      <c r="L479" s="18" t="str">
        <f t="shared" si="39"/>
        <v/>
      </c>
      <c r="M479" s="18" t="str">
        <f>IF(J479&lt;&gt;-1,"",ROUND(F479*IFERROR(INDEX(Stocuri!$G$5:$G$204,MATCH(D479,Coduri,0)),0),2))</f>
        <v/>
      </c>
      <c r="N479" s="19" t="str">
        <f t="shared" si="40"/>
        <v/>
      </c>
    </row>
    <row r="480" spans="2:14" x14ac:dyDescent="0.2">
      <c r="B480" s="15"/>
      <c r="C480" s="6"/>
      <c r="D480" s="12"/>
      <c r="E480" s="10" t="str">
        <f t="shared" si="36"/>
        <v/>
      </c>
      <c r="F480" s="16"/>
      <c r="G480" s="13"/>
      <c r="H480" s="6"/>
      <c r="I480" s="6"/>
      <c r="J480" s="11" t="str">
        <f t="shared" si="37"/>
        <v/>
      </c>
      <c r="K480" s="17" t="str">
        <f t="shared" si="38"/>
        <v/>
      </c>
      <c r="L480" s="18" t="str">
        <f t="shared" si="39"/>
        <v/>
      </c>
      <c r="M480" s="18" t="str">
        <f>IF(J480&lt;&gt;-1,"",ROUND(F480*IFERROR(INDEX(Stocuri!$G$5:$G$204,MATCH(D480,Coduri,0)),0),2))</f>
        <v/>
      </c>
      <c r="N480" s="19" t="str">
        <f t="shared" si="40"/>
        <v/>
      </c>
    </row>
    <row r="481" spans="2:14" x14ac:dyDescent="0.2">
      <c r="B481" s="15"/>
      <c r="C481" s="6"/>
      <c r="D481" s="12"/>
      <c r="E481" s="10" t="str">
        <f t="shared" si="36"/>
        <v/>
      </c>
      <c r="F481" s="16"/>
      <c r="G481" s="13"/>
      <c r="H481" s="6"/>
      <c r="I481" s="6"/>
      <c r="J481" s="11" t="str">
        <f t="shared" si="37"/>
        <v/>
      </c>
      <c r="K481" s="17" t="str">
        <f t="shared" si="38"/>
        <v/>
      </c>
      <c r="L481" s="18" t="str">
        <f t="shared" si="39"/>
        <v/>
      </c>
      <c r="M481" s="18" t="str">
        <f>IF(J481&lt;&gt;-1,"",ROUND(F481*IFERROR(INDEX(Stocuri!$G$5:$G$204,MATCH(D481,Coduri,0)),0),2))</f>
        <v/>
      </c>
      <c r="N481" s="19" t="str">
        <f t="shared" si="40"/>
        <v/>
      </c>
    </row>
    <row r="482" spans="2:14" x14ac:dyDescent="0.2">
      <c r="B482" s="15"/>
      <c r="C482" s="6"/>
      <c r="D482" s="12"/>
      <c r="E482" s="10" t="str">
        <f t="shared" si="36"/>
        <v/>
      </c>
      <c r="F482" s="16"/>
      <c r="G482" s="13"/>
      <c r="H482" s="6"/>
      <c r="I482" s="6"/>
      <c r="J482" s="11" t="str">
        <f t="shared" si="37"/>
        <v/>
      </c>
      <c r="K482" s="17" t="str">
        <f t="shared" si="38"/>
        <v/>
      </c>
      <c r="L482" s="18" t="str">
        <f t="shared" si="39"/>
        <v/>
      </c>
      <c r="M482" s="18" t="str">
        <f>IF(J482&lt;&gt;-1,"",ROUND(F482*IFERROR(INDEX(Stocuri!$G$5:$G$204,MATCH(D482,Coduri,0)),0),2))</f>
        <v/>
      </c>
      <c r="N482" s="19" t="str">
        <f t="shared" si="40"/>
        <v/>
      </c>
    </row>
    <row r="483" spans="2:14" x14ac:dyDescent="0.2">
      <c r="B483" s="15"/>
      <c r="C483" s="6"/>
      <c r="D483" s="12"/>
      <c r="E483" s="10" t="str">
        <f t="shared" si="36"/>
        <v/>
      </c>
      <c r="F483" s="16"/>
      <c r="G483" s="13"/>
      <c r="H483" s="6"/>
      <c r="I483" s="6"/>
      <c r="J483" s="11" t="str">
        <f t="shared" si="37"/>
        <v/>
      </c>
      <c r="K483" s="17" t="str">
        <f t="shared" si="38"/>
        <v/>
      </c>
      <c r="L483" s="18" t="str">
        <f t="shared" si="39"/>
        <v/>
      </c>
      <c r="M483" s="18" t="str">
        <f>IF(J483&lt;&gt;-1,"",ROUND(F483*IFERROR(INDEX(Stocuri!$G$5:$G$204,MATCH(D483,Coduri,0)),0),2))</f>
        <v/>
      </c>
      <c r="N483" s="19" t="str">
        <f t="shared" si="40"/>
        <v/>
      </c>
    </row>
    <row r="484" spans="2:14" x14ac:dyDescent="0.2">
      <c r="B484" s="15"/>
      <c r="C484" s="6"/>
      <c r="D484" s="12"/>
      <c r="E484" s="10" t="str">
        <f t="shared" si="36"/>
        <v/>
      </c>
      <c r="F484" s="16"/>
      <c r="G484" s="13"/>
      <c r="H484" s="6"/>
      <c r="I484" s="6"/>
      <c r="J484" s="11" t="str">
        <f t="shared" si="37"/>
        <v/>
      </c>
      <c r="K484" s="17" t="str">
        <f t="shared" si="38"/>
        <v/>
      </c>
      <c r="L484" s="18" t="str">
        <f t="shared" si="39"/>
        <v/>
      </c>
      <c r="M484" s="18" t="str">
        <f>IF(J484&lt;&gt;-1,"",ROUND(F484*IFERROR(INDEX(Stocuri!$G$5:$G$204,MATCH(D484,Coduri,0)),0),2))</f>
        <v/>
      </c>
      <c r="N484" s="19" t="str">
        <f t="shared" si="40"/>
        <v/>
      </c>
    </row>
    <row r="485" spans="2:14" x14ac:dyDescent="0.2">
      <c r="B485" s="15"/>
      <c r="C485" s="6"/>
      <c r="D485" s="12"/>
      <c r="E485" s="10" t="str">
        <f t="shared" si="36"/>
        <v/>
      </c>
      <c r="F485" s="16"/>
      <c r="G485" s="13"/>
      <c r="H485" s="6"/>
      <c r="I485" s="6"/>
      <c r="J485" s="11" t="str">
        <f t="shared" si="37"/>
        <v/>
      </c>
      <c r="K485" s="17" t="str">
        <f t="shared" si="38"/>
        <v/>
      </c>
      <c r="L485" s="18" t="str">
        <f t="shared" si="39"/>
        <v/>
      </c>
      <c r="M485" s="18" t="str">
        <f>IF(J485&lt;&gt;-1,"",ROUND(F485*IFERROR(INDEX(Stocuri!$G$5:$G$204,MATCH(D485,Coduri,0)),0),2))</f>
        <v/>
      </c>
      <c r="N485" s="19" t="str">
        <f t="shared" si="40"/>
        <v/>
      </c>
    </row>
    <row r="486" spans="2:14" x14ac:dyDescent="0.2">
      <c r="B486" s="15"/>
      <c r="C486" s="6"/>
      <c r="D486" s="12"/>
      <c r="E486" s="10" t="str">
        <f t="shared" si="36"/>
        <v/>
      </c>
      <c r="F486" s="16"/>
      <c r="G486" s="13"/>
      <c r="H486" s="6"/>
      <c r="I486" s="6"/>
      <c r="J486" s="11" t="str">
        <f t="shared" si="37"/>
        <v/>
      </c>
      <c r="K486" s="17" t="str">
        <f t="shared" si="38"/>
        <v/>
      </c>
      <c r="L486" s="18" t="str">
        <f t="shared" si="39"/>
        <v/>
      </c>
      <c r="M486" s="18" t="str">
        <f>IF(J486&lt;&gt;-1,"",ROUND(F486*IFERROR(INDEX(Stocuri!$G$5:$G$204,MATCH(D486,Coduri,0)),0),2))</f>
        <v/>
      </c>
      <c r="N486" s="19" t="str">
        <f t="shared" si="40"/>
        <v/>
      </c>
    </row>
    <row r="487" spans="2:14" x14ac:dyDescent="0.2">
      <c r="B487" s="15"/>
      <c r="C487" s="6"/>
      <c r="D487" s="12"/>
      <c r="E487" s="10" t="str">
        <f t="shared" si="36"/>
        <v/>
      </c>
      <c r="F487" s="16"/>
      <c r="G487" s="13"/>
      <c r="H487" s="6"/>
      <c r="I487" s="6"/>
      <c r="J487" s="11" t="str">
        <f t="shared" si="37"/>
        <v/>
      </c>
      <c r="K487" s="17" t="str">
        <f t="shared" si="38"/>
        <v/>
      </c>
      <c r="L487" s="18" t="str">
        <f t="shared" si="39"/>
        <v/>
      </c>
      <c r="M487" s="18" t="str">
        <f>IF(J487&lt;&gt;-1,"",ROUND(F487*IFERROR(INDEX(Stocuri!$G$5:$G$204,MATCH(D487,Coduri,0)),0),2))</f>
        <v/>
      </c>
      <c r="N487" s="19" t="str">
        <f t="shared" si="40"/>
        <v/>
      </c>
    </row>
    <row r="488" spans="2:14" x14ac:dyDescent="0.2">
      <c r="B488" s="15"/>
      <c r="C488" s="6"/>
      <c r="D488" s="12"/>
      <c r="E488" s="10" t="str">
        <f t="shared" si="36"/>
        <v/>
      </c>
      <c r="F488" s="16"/>
      <c r="G488" s="13"/>
      <c r="H488" s="6"/>
      <c r="I488" s="6"/>
      <c r="J488" s="11" t="str">
        <f t="shared" si="37"/>
        <v/>
      </c>
      <c r="K488" s="17" t="str">
        <f t="shared" si="38"/>
        <v/>
      </c>
      <c r="L488" s="18" t="str">
        <f t="shared" si="39"/>
        <v/>
      </c>
      <c r="M488" s="18" t="str">
        <f>IF(J488&lt;&gt;-1,"",ROUND(F488*IFERROR(INDEX(Stocuri!$G$5:$G$204,MATCH(D488,Coduri,0)),0),2))</f>
        <v/>
      </c>
      <c r="N488" s="19" t="str">
        <f t="shared" si="40"/>
        <v/>
      </c>
    </row>
    <row r="489" spans="2:14" x14ac:dyDescent="0.2">
      <c r="B489" s="15"/>
      <c r="C489" s="6"/>
      <c r="D489" s="12"/>
      <c r="E489" s="10" t="str">
        <f t="shared" si="36"/>
        <v/>
      </c>
      <c r="F489" s="16"/>
      <c r="G489" s="13"/>
      <c r="H489" s="6"/>
      <c r="I489" s="6"/>
      <c r="J489" s="11" t="str">
        <f t="shared" si="37"/>
        <v/>
      </c>
      <c r="K489" s="17" t="str">
        <f t="shared" si="38"/>
        <v/>
      </c>
      <c r="L489" s="18" t="str">
        <f t="shared" si="39"/>
        <v/>
      </c>
      <c r="M489" s="18" t="str">
        <f>IF(J489&lt;&gt;-1,"",ROUND(F489*IFERROR(INDEX(Stocuri!$G$5:$G$204,MATCH(D489,Coduri,0)),0),2))</f>
        <v/>
      </c>
      <c r="N489" s="19" t="str">
        <f t="shared" si="40"/>
        <v/>
      </c>
    </row>
    <row r="490" spans="2:14" x14ac:dyDescent="0.2">
      <c r="B490" s="15"/>
      <c r="C490" s="6"/>
      <c r="D490" s="12"/>
      <c r="E490" s="10" t="str">
        <f t="shared" si="36"/>
        <v/>
      </c>
      <c r="F490" s="16"/>
      <c r="G490" s="13"/>
      <c r="H490" s="6"/>
      <c r="I490" s="6"/>
      <c r="J490" s="11" t="str">
        <f t="shared" si="37"/>
        <v/>
      </c>
      <c r="K490" s="17" t="str">
        <f t="shared" si="38"/>
        <v/>
      </c>
      <c r="L490" s="18" t="str">
        <f t="shared" si="39"/>
        <v/>
      </c>
      <c r="M490" s="18" t="str">
        <f>IF(J490&lt;&gt;-1,"",ROUND(F490*IFERROR(INDEX(Stocuri!$G$5:$G$204,MATCH(D490,Coduri,0)),0),2))</f>
        <v/>
      </c>
      <c r="N490" s="19" t="str">
        <f t="shared" si="40"/>
        <v/>
      </c>
    </row>
    <row r="491" spans="2:14" x14ac:dyDescent="0.2">
      <c r="B491" s="15"/>
      <c r="C491" s="6"/>
      <c r="D491" s="12"/>
      <c r="E491" s="10" t="str">
        <f t="shared" si="36"/>
        <v/>
      </c>
      <c r="F491" s="16"/>
      <c r="G491" s="13"/>
      <c r="H491" s="6"/>
      <c r="I491" s="6"/>
      <c r="J491" s="11" t="str">
        <f t="shared" si="37"/>
        <v/>
      </c>
      <c r="K491" s="17" t="str">
        <f t="shared" si="38"/>
        <v/>
      </c>
      <c r="L491" s="18" t="str">
        <f t="shared" si="39"/>
        <v/>
      </c>
      <c r="M491" s="18" t="str">
        <f>IF(J491&lt;&gt;-1,"",ROUND(F491*IFERROR(INDEX(Stocuri!$G$5:$G$204,MATCH(D491,Coduri,0)),0),2))</f>
        <v/>
      </c>
      <c r="N491" s="19" t="str">
        <f t="shared" si="40"/>
        <v/>
      </c>
    </row>
    <row r="492" spans="2:14" x14ac:dyDescent="0.2">
      <c r="B492" s="15"/>
      <c r="C492" s="6"/>
      <c r="D492" s="12"/>
      <c r="E492" s="10" t="str">
        <f t="shared" si="36"/>
        <v/>
      </c>
      <c r="F492" s="16"/>
      <c r="G492" s="13"/>
      <c r="H492" s="6"/>
      <c r="I492" s="6"/>
      <c r="J492" s="11" t="str">
        <f t="shared" si="37"/>
        <v/>
      </c>
      <c r="K492" s="17" t="str">
        <f t="shared" si="38"/>
        <v/>
      </c>
      <c r="L492" s="18" t="str">
        <f t="shared" si="39"/>
        <v/>
      </c>
      <c r="M492" s="18" t="str">
        <f>IF(J492&lt;&gt;-1,"",ROUND(F492*IFERROR(INDEX(Stocuri!$G$5:$G$204,MATCH(D492,Coduri,0)),0),2))</f>
        <v/>
      </c>
      <c r="N492" s="19" t="str">
        <f t="shared" si="40"/>
        <v/>
      </c>
    </row>
    <row r="493" spans="2:14" x14ac:dyDescent="0.2">
      <c r="B493" s="15"/>
      <c r="C493" s="6"/>
      <c r="D493" s="12"/>
      <c r="E493" s="10" t="str">
        <f t="shared" si="36"/>
        <v/>
      </c>
      <c r="F493" s="16"/>
      <c r="G493" s="13"/>
      <c r="H493" s="6"/>
      <c r="I493" s="6"/>
      <c r="J493" s="11" t="str">
        <f t="shared" si="37"/>
        <v/>
      </c>
      <c r="K493" s="17" t="str">
        <f t="shared" si="38"/>
        <v/>
      </c>
      <c r="L493" s="18" t="str">
        <f t="shared" si="39"/>
        <v/>
      </c>
      <c r="M493" s="18" t="str">
        <f>IF(J493&lt;&gt;-1,"",ROUND(F493*IFERROR(INDEX(Stocuri!$G$5:$G$204,MATCH(D493,Coduri,0)),0),2))</f>
        <v/>
      </c>
      <c r="N493" s="19" t="str">
        <f t="shared" si="40"/>
        <v/>
      </c>
    </row>
    <row r="494" spans="2:14" x14ac:dyDescent="0.2">
      <c r="B494" s="15"/>
      <c r="C494" s="6"/>
      <c r="D494" s="12"/>
      <c r="E494" s="10" t="str">
        <f t="shared" si="36"/>
        <v/>
      </c>
      <c r="F494" s="16"/>
      <c r="G494" s="13"/>
      <c r="H494" s="6"/>
      <c r="I494" s="6"/>
      <c r="J494" s="11" t="str">
        <f t="shared" si="37"/>
        <v/>
      </c>
      <c r="K494" s="17" t="str">
        <f t="shared" si="38"/>
        <v/>
      </c>
      <c r="L494" s="18" t="str">
        <f t="shared" si="39"/>
        <v/>
      </c>
      <c r="M494" s="18" t="str">
        <f>IF(J494&lt;&gt;-1,"",ROUND(F494*IFERROR(INDEX(Stocuri!$G$5:$G$204,MATCH(D494,Coduri,0)),0),2))</f>
        <v/>
      </c>
      <c r="N494" s="19" t="str">
        <f t="shared" si="40"/>
        <v/>
      </c>
    </row>
    <row r="495" spans="2:14" x14ac:dyDescent="0.2">
      <c r="B495" s="15"/>
      <c r="C495" s="6"/>
      <c r="D495" s="12"/>
      <c r="E495" s="10" t="str">
        <f t="shared" si="36"/>
        <v/>
      </c>
      <c r="F495" s="16"/>
      <c r="G495" s="13"/>
      <c r="H495" s="6"/>
      <c r="I495" s="6"/>
      <c r="J495" s="11" t="str">
        <f t="shared" si="37"/>
        <v/>
      </c>
      <c r="K495" s="17" t="str">
        <f t="shared" si="38"/>
        <v/>
      </c>
      <c r="L495" s="18" t="str">
        <f t="shared" si="39"/>
        <v/>
      </c>
      <c r="M495" s="18" t="str">
        <f>IF(J495&lt;&gt;-1,"",ROUND(F495*IFERROR(INDEX(Stocuri!$G$5:$G$204,MATCH(D495,Coduri,0)),0),2))</f>
        <v/>
      </c>
      <c r="N495" s="19" t="str">
        <f t="shared" si="40"/>
        <v/>
      </c>
    </row>
    <row r="496" spans="2:14" x14ac:dyDescent="0.2">
      <c r="B496" s="15"/>
      <c r="C496" s="6"/>
      <c r="D496" s="12"/>
      <c r="E496" s="10" t="str">
        <f t="shared" si="36"/>
        <v/>
      </c>
      <c r="F496" s="16"/>
      <c r="G496" s="13"/>
      <c r="H496" s="6"/>
      <c r="I496" s="6"/>
      <c r="J496" s="11" t="str">
        <f t="shared" si="37"/>
        <v/>
      </c>
      <c r="K496" s="17" t="str">
        <f t="shared" si="38"/>
        <v/>
      </c>
      <c r="L496" s="18" t="str">
        <f t="shared" si="39"/>
        <v/>
      </c>
      <c r="M496" s="18" t="str">
        <f>IF(J496&lt;&gt;-1,"",ROUND(F496*IFERROR(INDEX(Stocuri!$G$5:$G$204,MATCH(D496,Coduri,0)),0),2))</f>
        <v/>
      </c>
      <c r="N496" s="19" t="str">
        <f t="shared" si="40"/>
        <v/>
      </c>
    </row>
    <row r="497" spans="2:14" x14ac:dyDescent="0.2">
      <c r="B497" s="15"/>
      <c r="C497" s="6"/>
      <c r="D497" s="12"/>
      <c r="E497" s="10" t="str">
        <f t="shared" si="36"/>
        <v/>
      </c>
      <c r="F497" s="16"/>
      <c r="G497" s="13"/>
      <c r="H497" s="6"/>
      <c r="I497" s="6"/>
      <c r="J497" s="11" t="str">
        <f t="shared" si="37"/>
        <v/>
      </c>
      <c r="K497" s="17" t="str">
        <f t="shared" si="38"/>
        <v/>
      </c>
      <c r="L497" s="18" t="str">
        <f t="shared" si="39"/>
        <v/>
      </c>
      <c r="M497" s="18" t="str">
        <f>IF(J497&lt;&gt;-1,"",ROUND(F497*IFERROR(INDEX(Stocuri!$G$5:$G$204,MATCH(D497,Coduri,0)),0),2))</f>
        <v/>
      </c>
      <c r="N497" s="19" t="str">
        <f t="shared" si="40"/>
        <v/>
      </c>
    </row>
    <row r="498" spans="2:14" x14ac:dyDescent="0.2">
      <c r="B498" s="15"/>
      <c r="C498" s="6"/>
      <c r="D498" s="12"/>
      <c r="E498" s="10" t="str">
        <f t="shared" si="36"/>
        <v/>
      </c>
      <c r="F498" s="16"/>
      <c r="G498" s="13"/>
      <c r="H498" s="6"/>
      <c r="I498" s="6"/>
      <c r="J498" s="11" t="str">
        <f t="shared" si="37"/>
        <v/>
      </c>
      <c r="K498" s="17" t="str">
        <f t="shared" si="38"/>
        <v/>
      </c>
      <c r="L498" s="18" t="str">
        <f t="shared" si="39"/>
        <v/>
      </c>
      <c r="M498" s="18" t="str">
        <f>IF(J498&lt;&gt;-1,"",ROUND(F498*IFERROR(INDEX(Stocuri!$G$5:$G$204,MATCH(D498,Coduri,0)),0),2))</f>
        <v/>
      </c>
      <c r="N498" s="19" t="str">
        <f t="shared" si="40"/>
        <v/>
      </c>
    </row>
    <row r="499" spans="2:14" x14ac:dyDescent="0.2">
      <c r="B499" s="15"/>
      <c r="C499" s="6"/>
      <c r="D499" s="12"/>
      <c r="E499" s="10" t="str">
        <f t="shared" si="36"/>
        <v/>
      </c>
      <c r="F499" s="16"/>
      <c r="G499" s="13"/>
      <c r="H499" s="6"/>
      <c r="I499" s="6"/>
      <c r="J499" s="11" t="str">
        <f t="shared" si="37"/>
        <v/>
      </c>
      <c r="K499" s="17" t="str">
        <f t="shared" si="38"/>
        <v/>
      </c>
      <c r="L499" s="18" t="str">
        <f t="shared" si="39"/>
        <v/>
      </c>
      <c r="M499" s="18" t="str">
        <f>IF(J499&lt;&gt;-1,"",ROUND(F499*IFERROR(INDEX(Stocuri!$G$5:$G$204,MATCH(D499,Coduri,0)),0),2))</f>
        <v/>
      </c>
      <c r="N499" s="19" t="str">
        <f t="shared" si="40"/>
        <v/>
      </c>
    </row>
    <row r="500" spans="2:14" x14ac:dyDescent="0.2">
      <c r="B500" s="15"/>
      <c r="C500" s="6"/>
      <c r="D500" s="12"/>
      <c r="E500" s="10" t="str">
        <f t="shared" si="36"/>
        <v/>
      </c>
      <c r="F500" s="16"/>
      <c r="G500" s="13"/>
      <c r="H500" s="6"/>
      <c r="I500" s="6"/>
      <c r="J500" s="11" t="str">
        <f t="shared" si="37"/>
        <v/>
      </c>
      <c r="K500" s="17" t="str">
        <f t="shared" si="38"/>
        <v/>
      </c>
      <c r="L500" s="18" t="str">
        <f t="shared" si="39"/>
        <v/>
      </c>
      <c r="M500" s="18" t="str">
        <f>IF(J500&lt;&gt;-1,"",ROUND(F500*IFERROR(INDEX(Stocuri!$G$5:$G$204,MATCH(D500,Coduri,0)),0),2))</f>
        <v/>
      </c>
      <c r="N500" s="19" t="str">
        <f t="shared" si="40"/>
        <v/>
      </c>
    </row>
    <row r="501" spans="2:14" x14ac:dyDescent="0.2">
      <c r="B501" s="15"/>
      <c r="C501" s="6"/>
      <c r="D501" s="12"/>
      <c r="E501" s="10" t="str">
        <f t="shared" si="36"/>
        <v/>
      </c>
      <c r="F501" s="16"/>
      <c r="G501" s="13"/>
      <c r="H501" s="6"/>
      <c r="I501" s="6"/>
      <c r="J501" s="11" t="str">
        <f t="shared" si="37"/>
        <v/>
      </c>
      <c r="K501" s="17" t="str">
        <f t="shared" si="38"/>
        <v/>
      </c>
      <c r="L501" s="18" t="str">
        <f t="shared" si="39"/>
        <v/>
      </c>
      <c r="M501" s="18" t="str">
        <f>IF(J501&lt;&gt;-1,"",ROUND(F501*IFERROR(INDEX(Stocuri!$G$5:$G$204,MATCH(D501,Coduri,0)),0),2))</f>
        <v/>
      </c>
      <c r="N501" s="19" t="str">
        <f t="shared" si="40"/>
        <v/>
      </c>
    </row>
    <row r="502" spans="2:14" x14ac:dyDescent="0.2">
      <c r="B502" s="15"/>
      <c r="C502" s="6"/>
      <c r="D502" s="12"/>
      <c r="E502" s="10" t="str">
        <f t="shared" si="36"/>
        <v/>
      </c>
      <c r="F502" s="16"/>
      <c r="G502" s="13"/>
      <c r="H502" s="6"/>
      <c r="I502" s="6"/>
      <c r="J502" s="11" t="str">
        <f t="shared" si="37"/>
        <v/>
      </c>
      <c r="K502" s="17" t="str">
        <f t="shared" si="38"/>
        <v/>
      </c>
      <c r="L502" s="18" t="str">
        <f t="shared" si="39"/>
        <v/>
      </c>
      <c r="M502" s="18" t="str">
        <f>IF(J502&lt;&gt;-1,"",ROUND(F502*IFERROR(INDEX(Stocuri!$G$5:$G$204,MATCH(D502,Coduri,0)),0),2))</f>
        <v/>
      </c>
      <c r="N502" s="19" t="str">
        <f t="shared" si="40"/>
        <v/>
      </c>
    </row>
    <row r="503" spans="2:14" x14ac:dyDescent="0.2">
      <c r="B503" s="15"/>
      <c r="C503" s="6"/>
      <c r="D503" s="12"/>
      <c r="E503" s="10" t="str">
        <f t="shared" si="36"/>
        <v/>
      </c>
      <c r="F503" s="16"/>
      <c r="G503" s="13"/>
      <c r="H503" s="6"/>
      <c r="I503" s="6"/>
      <c r="J503" s="11" t="str">
        <f t="shared" si="37"/>
        <v/>
      </c>
      <c r="K503" s="17" t="str">
        <f t="shared" si="38"/>
        <v/>
      </c>
      <c r="L503" s="18" t="str">
        <f t="shared" si="39"/>
        <v/>
      </c>
      <c r="M503" s="18" t="str">
        <f>IF(J503&lt;&gt;-1,"",ROUND(F503*IFERROR(INDEX(Stocuri!$G$5:$G$204,MATCH(D503,Coduri,0)),0),2))</f>
        <v/>
      </c>
      <c r="N503" s="19" t="str">
        <f t="shared" si="40"/>
        <v/>
      </c>
    </row>
    <row r="504" spans="2:14" x14ac:dyDescent="0.2">
      <c r="B504" s="15"/>
      <c r="C504" s="6"/>
      <c r="D504" s="12"/>
      <c r="E504" s="10" t="str">
        <f t="shared" si="36"/>
        <v/>
      </c>
      <c r="F504" s="16"/>
      <c r="G504" s="13"/>
      <c r="H504" s="6"/>
      <c r="I504" s="6"/>
      <c r="J504" s="11" t="str">
        <f t="shared" si="37"/>
        <v/>
      </c>
      <c r="K504" s="17" t="str">
        <f t="shared" si="38"/>
        <v/>
      </c>
      <c r="L504" s="18" t="str">
        <f t="shared" si="39"/>
        <v/>
      </c>
      <c r="M504" s="18" t="str">
        <f>IF(J504&lt;&gt;-1,"",ROUND(F504*IFERROR(INDEX(Stocuri!$G$5:$G$204,MATCH(D504,Coduri,0)),0),2))</f>
        <v/>
      </c>
      <c r="N504" s="19" t="str">
        <f t="shared" si="40"/>
        <v/>
      </c>
    </row>
    <row r="505" spans="2:14" x14ac:dyDescent="0.2">
      <c r="B505" s="15"/>
      <c r="C505" s="6"/>
      <c r="D505" s="12"/>
      <c r="E505" s="10" t="str">
        <f t="shared" si="36"/>
        <v/>
      </c>
      <c r="F505" s="16"/>
      <c r="G505" s="13"/>
      <c r="H505" s="6"/>
      <c r="I505" s="6"/>
      <c r="J505" s="11" t="str">
        <f t="shared" si="37"/>
        <v/>
      </c>
      <c r="K505" s="17" t="str">
        <f t="shared" si="38"/>
        <v/>
      </c>
      <c r="L505" s="18" t="str">
        <f t="shared" si="39"/>
        <v/>
      </c>
      <c r="M505" s="18" t="str">
        <f>IF(J505&lt;&gt;-1,"",ROUND(F505*IFERROR(INDEX(Stocuri!$G$5:$G$204,MATCH(D505,Coduri,0)),0),2))</f>
        <v/>
      </c>
      <c r="N505" s="19" t="str">
        <f t="shared" si="40"/>
        <v/>
      </c>
    </row>
    <row r="506" spans="2:14" x14ac:dyDescent="0.2">
      <c r="B506" s="15"/>
      <c r="C506" s="6"/>
      <c r="D506" s="12"/>
      <c r="E506" s="10" t="str">
        <f t="shared" si="36"/>
        <v/>
      </c>
      <c r="F506" s="16"/>
      <c r="G506" s="13"/>
      <c r="H506" s="6"/>
      <c r="I506" s="6"/>
      <c r="J506" s="11" t="str">
        <f t="shared" si="37"/>
        <v/>
      </c>
      <c r="K506" s="17" t="str">
        <f t="shared" si="38"/>
        <v/>
      </c>
      <c r="L506" s="18" t="str">
        <f t="shared" si="39"/>
        <v/>
      </c>
      <c r="M506" s="18" t="str">
        <f>IF(J506&lt;&gt;-1,"",ROUND(F506*IFERROR(INDEX(Stocuri!$G$5:$G$204,MATCH(D506,Coduri,0)),0),2))</f>
        <v/>
      </c>
      <c r="N506" s="19" t="str">
        <f t="shared" si="40"/>
        <v/>
      </c>
    </row>
    <row r="507" spans="2:14" x14ac:dyDescent="0.2">
      <c r="B507" s="15"/>
      <c r="C507" s="6"/>
      <c r="D507" s="12"/>
      <c r="E507" s="10" t="str">
        <f t="shared" si="36"/>
        <v/>
      </c>
      <c r="F507" s="16"/>
      <c r="G507" s="13"/>
      <c r="H507" s="6"/>
      <c r="I507" s="6"/>
      <c r="J507" s="11" t="str">
        <f t="shared" si="37"/>
        <v/>
      </c>
      <c r="K507" s="17" t="str">
        <f t="shared" si="38"/>
        <v/>
      </c>
      <c r="L507" s="18" t="str">
        <f t="shared" si="39"/>
        <v/>
      </c>
      <c r="M507" s="18" t="str">
        <f>IF(J507&lt;&gt;-1,"",ROUND(F507*IFERROR(INDEX(Stocuri!$G$5:$G$204,MATCH(D507,Coduri,0)),0),2))</f>
        <v/>
      </c>
      <c r="N507" s="19" t="str">
        <f t="shared" si="40"/>
        <v/>
      </c>
    </row>
    <row r="508" spans="2:14" x14ac:dyDescent="0.2">
      <c r="B508" s="15"/>
      <c r="C508" s="6"/>
      <c r="D508" s="12"/>
      <c r="E508" s="10" t="str">
        <f t="shared" si="36"/>
        <v/>
      </c>
      <c r="F508" s="16"/>
      <c r="G508" s="13"/>
      <c r="H508" s="6"/>
      <c r="I508" s="6"/>
      <c r="J508" s="11" t="str">
        <f t="shared" si="37"/>
        <v/>
      </c>
      <c r="K508" s="17" t="str">
        <f t="shared" si="38"/>
        <v/>
      </c>
      <c r="L508" s="18" t="str">
        <f t="shared" si="39"/>
        <v/>
      </c>
      <c r="M508" s="18" t="str">
        <f>IF(J508&lt;&gt;-1,"",ROUND(F508*IFERROR(INDEX(Stocuri!$G$5:$G$204,MATCH(D508,Coduri,0)),0),2))</f>
        <v/>
      </c>
      <c r="N508" s="19" t="str">
        <f t="shared" si="40"/>
        <v/>
      </c>
    </row>
    <row r="509" spans="2:14" x14ac:dyDescent="0.2">
      <c r="B509" s="15"/>
      <c r="C509" s="6"/>
      <c r="D509" s="12"/>
      <c r="E509" s="10" t="str">
        <f t="shared" si="36"/>
        <v/>
      </c>
      <c r="F509" s="16"/>
      <c r="G509" s="13"/>
      <c r="H509" s="6"/>
      <c r="I509" s="6"/>
      <c r="J509" s="11" t="str">
        <f t="shared" si="37"/>
        <v/>
      </c>
      <c r="K509" s="17" t="str">
        <f t="shared" si="38"/>
        <v/>
      </c>
      <c r="L509" s="18" t="str">
        <f t="shared" si="39"/>
        <v/>
      </c>
      <c r="M509" s="18" t="str">
        <f>IF(J509&lt;&gt;-1,"",ROUND(F509*IFERROR(INDEX(Stocuri!$G$5:$G$204,MATCH(D509,Coduri,0)),0),2))</f>
        <v/>
      </c>
      <c r="N509" s="19" t="str">
        <f t="shared" si="40"/>
        <v/>
      </c>
    </row>
    <row r="510" spans="2:14" x14ac:dyDescent="0.2">
      <c r="B510" s="15"/>
      <c r="C510" s="6"/>
      <c r="D510" s="12"/>
      <c r="E510" s="10" t="str">
        <f t="shared" si="36"/>
        <v/>
      </c>
      <c r="F510" s="16"/>
      <c r="G510" s="13"/>
      <c r="H510" s="6"/>
      <c r="I510" s="6"/>
      <c r="J510" s="11" t="str">
        <f t="shared" si="37"/>
        <v/>
      </c>
      <c r="K510" s="17" t="str">
        <f t="shared" si="38"/>
        <v/>
      </c>
      <c r="L510" s="18" t="str">
        <f t="shared" si="39"/>
        <v/>
      </c>
      <c r="M510" s="18" t="str">
        <f>IF(J510&lt;&gt;-1,"",ROUND(F510*IFERROR(INDEX(Stocuri!$G$5:$G$204,MATCH(D510,Coduri,0)),0),2))</f>
        <v/>
      </c>
      <c r="N510" s="19" t="str">
        <f t="shared" si="40"/>
        <v/>
      </c>
    </row>
    <row r="511" spans="2:14" x14ac:dyDescent="0.2">
      <c r="B511" s="15"/>
      <c r="C511" s="6"/>
      <c r="D511" s="12"/>
      <c r="E511" s="10" t="str">
        <f t="shared" si="36"/>
        <v/>
      </c>
      <c r="F511" s="16"/>
      <c r="G511" s="13"/>
      <c r="H511" s="6"/>
      <c r="I511" s="6"/>
      <c r="J511" s="11" t="str">
        <f t="shared" si="37"/>
        <v/>
      </c>
      <c r="K511" s="17" t="str">
        <f t="shared" si="38"/>
        <v/>
      </c>
      <c r="L511" s="18" t="str">
        <f t="shared" si="39"/>
        <v/>
      </c>
      <c r="M511" s="18" t="str">
        <f>IF(J511&lt;&gt;-1,"",ROUND(F511*IFERROR(INDEX(Stocuri!$G$5:$G$204,MATCH(D511,Coduri,0)),0),2))</f>
        <v/>
      </c>
      <c r="N511" s="19" t="str">
        <f t="shared" si="40"/>
        <v/>
      </c>
    </row>
    <row r="512" spans="2:14" x14ac:dyDescent="0.2">
      <c r="B512" s="15"/>
      <c r="C512" s="6"/>
      <c r="D512" s="12"/>
      <c r="E512" s="10" t="str">
        <f t="shared" si="36"/>
        <v/>
      </c>
      <c r="F512" s="16"/>
      <c r="G512" s="13"/>
      <c r="H512" s="6"/>
      <c r="I512" s="6"/>
      <c r="J512" s="11" t="str">
        <f t="shared" si="37"/>
        <v/>
      </c>
      <c r="K512" s="17" t="str">
        <f t="shared" si="38"/>
        <v/>
      </c>
      <c r="L512" s="18" t="str">
        <f t="shared" si="39"/>
        <v/>
      </c>
      <c r="M512" s="18" t="str">
        <f>IF(J512&lt;&gt;-1,"",ROUND(F512*IFERROR(INDEX(Stocuri!$G$5:$G$204,MATCH(D512,Coduri,0)),0),2))</f>
        <v/>
      </c>
      <c r="N512" s="19" t="str">
        <f t="shared" si="40"/>
        <v/>
      </c>
    </row>
    <row r="513" spans="2:14" x14ac:dyDescent="0.2">
      <c r="B513" s="15"/>
      <c r="C513" s="6"/>
      <c r="D513" s="12"/>
      <c r="E513" s="10" t="str">
        <f t="shared" si="36"/>
        <v/>
      </c>
      <c r="F513" s="16"/>
      <c r="G513" s="13"/>
      <c r="H513" s="6"/>
      <c r="I513" s="6"/>
      <c r="J513" s="11" t="str">
        <f t="shared" si="37"/>
        <v/>
      </c>
      <c r="K513" s="17" t="str">
        <f t="shared" si="38"/>
        <v/>
      </c>
      <c r="L513" s="18" t="str">
        <f t="shared" si="39"/>
        <v/>
      </c>
      <c r="M513" s="18" t="str">
        <f>IF(J513&lt;&gt;-1,"",ROUND(F513*IFERROR(INDEX(Stocuri!$G$5:$G$204,MATCH(D513,Coduri,0)),0),2))</f>
        <v/>
      </c>
      <c r="N513" s="19" t="str">
        <f t="shared" si="40"/>
        <v/>
      </c>
    </row>
    <row r="514" spans="2:14" x14ac:dyDescent="0.2">
      <c r="B514" s="15"/>
      <c r="C514" s="6"/>
      <c r="D514" s="12"/>
      <c r="E514" s="10" t="str">
        <f t="shared" si="36"/>
        <v/>
      </c>
      <c r="F514" s="16"/>
      <c r="G514" s="13"/>
      <c r="H514" s="6"/>
      <c r="I514" s="6"/>
      <c r="J514" s="11" t="str">
        <f t="shared" si="37"/>
        <v/>
      </c>
      <c r="K514" s="17" t="str">
        <f t="shared" si="38"/>
        <v/>
      </c>
      <c r="L514" s="18" t="str">
        <f t="shared" si="39"/>
        <v/>
      </c>
      <c r="M514" s="18" t="str">
        <f>IF(J514&lt;&gt;-1,"",ROUND(F514*IFERROR(INDEX(Stocuri!$G$5:$G$204,MATCH(D514,Coduri,0)),0),2))</f>
        <v/>
      </c>
      <c r="N514" s="19" t="str">
        <f t="shared" si="40"/>
        <v/>
      </c>
    </row>
    <row r="515" spans="2:14" x14ac:dyDescent="0.2">
      <c r="B515" s="15"/>
      <c r="C515" s="6"/>
      <c r="D515" s="12"/>
      <c r="E515" s="10" t="str">
        <f t="shared" si="36"/>
        <v/>
      </c>
      <c r="F515" s="16"/>
      <c r="G515" s="13"/>
      <c r="H515" s="6"/>
      <c r="I515" s="6"/>
      <c r="J515" s="11" t="str">
        <f t="shared" si="37"/>
        <v/>
      </c>
      <c r="K515" s="17" t="str">
        <f t="shared" si="38"/>
        <v/>
      </c>
      <c r="L515" s="18" t="str">
        <f t="shared" si="39"/>
        <v/>
      </c>
      <c r="M515" s="18" t="str">
        <f>IF(J515&lt;&gt;-1,"",ROUND(F515*IFERROR(INDEX(Stocuri!$G$5:$G$204,MATCH(D515,Coduri,0)),0),2))</f>
        <v/>
      </c>
      <c r="N515" s="19" t="str">
        <f t="shared" si="40"/>
        <v/>
      </c>
    </row>
    <row r="516" spans="2:14" x14ac:dyDescent="0.2">
      <c r="B516" s="15"/>
      <c r="C516" s="6"/>
      <c r="D516" s="12"/>
      <c r="E516" s="10" t="str">
        <f t="shared" si="36"/>
        <v/>
      </c>
      <c r="F516" s="16"/>
      <c r="G516" s="13"/>
      <c r="H516" s="6"/>
      <c r="I516" s="6"/>
      <c r="J516" s="11" t="str">
        <f t="shared" si="37"/>
        <v/>
      </c>
      <c r="K516" s="17" t="str">
        <f t="shared" si="38"/>
        <v/>
      </c>
      <c r="L516" s="18" t="str">
        <f t="shared" si="39"/>
        <v/>
      </c>
      <c r="M516" s="18" t="str">
        <f>IF(J516&lt;&gt;-1,"",ROUND(F516*IFERROR(INDEX(Stocuri!$G$5:$G$204,MATCH(D516,Coduri,0)),0),2))</f>
        <v/>
      </c>
      <c r="N516" s="19" t="str">
        <f t="shared" si="40"/>
        <v/>
      </c>
    </row>
    <row r="517" spans="2:14" x14ac:dyDescent="0.2">
      <c r="B517" s="15"/>
      <c r="C517" s="6"/>
      <c r="D517" s="12"/>
      <c r="E517" s="10" t="str">
        <f t="shared" ref="E517:E580" si="41">IF(D517="","",IFERROR(VLOOKUP(D517,Catalog,2,FALSE),""))</f>
        <v/>
      </c>
      <c r="F517" s="16"/>
      <c r="G517" s="13"/>
      <c r="H517" s="6"/>
      <c r="I517" s="6"/>
      <c r="J517" s="11" t="str">
        <f t="shared" ref="J517:J580" si="42">IF(C517="","",IFERROR(VLOOKUP(C517,TipSemn,2,FALSE),""))</f>
        <v/>
      </c>
      <c r="K517" s="17" t="str">
        <f t="shared" ref="K517:K580" si="43">IF(OR(J517="",F517=""),"",J517*F517)</f>
        <v/>
      </c>
      <c r="L517" s="18" t="str">
        <f t="shared" ref="L517:L580" si="44">IF(OR(J517&lt;&gt;1,G517=""),"",ROUND(F517*G517,2))</f>
        <v/>
      </c>
      <c r="M517" s="18" t="str">
        <f>IF(J517&lt;&gt;-1,"",ROUND(F517*IFERROR(INDEX(Stocuri!$G$5:$G$204,MATCH(D517,Coduri,0)),0),2))</f>
        <v/>
      </c>
      <c r="N517" s="19" t="str">
        <f t="shared" ref="N517:N580" si="45">IF(AND(B517="",D517=""),"",TRIM(IF(OR(B517="",C517="",D517="",F517=""),"Date incomplete. ","")&amp;IF(AND(D517&lt;&gt;"",E517=""),"Cod necunoscut. ","")&amp;IF(AND(J517=1,C517&lt;&gt;"Retur de la client",C517&lt;&gt;"Ajustare inventar +",G517=""),"Lipsește prețul de intrare. ","")&amp;IF(AND(J517=-1,D517&lt;&gt;"",SUMIFS($K$5:$K$2004,$D$5:$D$2004,D517,$B$5:$B$2004,"&lt;="&amp;B517)&lt;0),"Stoc insuficient la această dată. ","")&amp;IF(AND(C517&lt;&gt;"Stoc inițial",H517=""),"Lipsește documentul. ","")))</f>
        <v/>
      </c>
    </row>
    <row r="518" spans="2:14" x14ac:dyDescent="0.2">
      <c r="B518" s="15"/>
      <c r="C518" s="6"/>
      <c r="D518" s="12"/>
      <c r="E518" s="10" t="str">
        <f t="shared" si="41"/>
        <v/>
      </c>
      <c r="F518" s="16"/>
      <c r="G518" s="13"/>
      <c r="H518" s="6"/>
      <c r="I518" s="6"/>
      <c r="J518" s="11" t="str">
        <f t="shared" si="42"/>
        <v/>
      </c>
      <c r="K518" s="17" t="str">
        <f t="shared" si="43"/>
        <v/>
      </c>
      <c r="L518" s="18" t="str">
        <f t="shared" si="44"/>
        <v/>
      </c>
      <c r="M518" s="18" t="str">
        <f>IF(J518&lt;&gt;-1,"",ROUND(F518*IFERROR(INDEX(Stocuri!$G$5:$G$204,MATCH(D518,Coduri,0)),0),2))</f>
        <v/>
      </c>
      <c r="N518" s="19" t="str">
        <f t="shared" si="45"/>
        <v/>
      </c>
    </row>
    <row r="519" spans="2:14" x14ac:dyDescent="0.2">
      <c r="B519" s="15"/>
      <c r="C519" s="6"/>
      <c r="D519" s="12"/>
      <c r="E519" s="10" t="str">
        <f t="shared" si="41"/>
        <v/>
      </c>
      <c r="F519" s="16"/>
      <c r="G519" s="13"/>
      <c r="H519" s="6"/>
      <c r="I519" s="6"/>
      <c r="J519" s="11" t="str">
        <f t="shared" si="42"/>
        <v/>
      </c>
      <c r="K519" s="17" t="str">
        <f t="shared" si="43"/>
        <v/>
      </c>
      <c r="L519" s="18" t="str">
        <f t="shared" si="44"/>
        <v/>
      </c>
      <c r="M519" s="18" t="str">
        <f>IF(J519&lt;&gt;-1,"",ROUND(F519*IFERROR(INDEX(Stocuri!$G$5:$G$204,MATCH(D519,Coduri,0)),0),2))</f>
        <v/>
      </c>
      <c r="N519" s="19" t="str">
        <f t="shared" si="45"/>
        <v/>
      </c>
    </row>
    <row r="520" spans="2:14" x14ac:dyDescent="0.2">
      <c r="B520" s="15"/>
      <c r="C520" s="6"/>
      <c r="D520" s="12"/>
      <c r="E520" s="10" t="str">
        <f t="shared" si="41"/>
        <v/>
      </c>
      <c r="F520" s="16"/>
      <c r="G520" s="13"/>
      <c r="H520" s="6"/>
      <c r="I520" s="6"/>
      <c r="J520" s="11" t="str">
        <f t="shared" si="42"/>
        <v/>
      </c>
      <c r="K520" s="17" t="str">
        <f t="shared" si="43"/>
        <v/>
      </c>
      <c r="L520" s="18" t="str">
        <f t="shared" si="44"/>
        <v/>
      </c>
      <c r="M520" s="18" t="str">
        <f>IF(J520&lt;&gt;-1,"",ROUND(F520*IFERROR(INDEX(Stocuri!$G$5:$G$204,MATCH(D520,Coduri,0)),0),2))</f>
        <v/>
      </c>
      <c r="N520" s="19" t="str">
        <f t="shared" si="45"/>
        <v/>
      </c>
    </row>
    <row r="521" spans="2:14" x14ac:dyDescent="0.2">
      <c r="B521" s="15"/>
      <c r="C521" s="6"/>
      <c r="D521" s="12"/>
      <c r="E521" s="10" t="str">
        <f t="shared" si="41"/>
        <v/>
      </c>
      <c r="F521" s="16"/>
      <c r="G521" s="13"/>
      <c r="H521" s="6"/>
      <c r="I521" s="6"/>
      <c r="J521" s="11" t="str">
        <f t="shared" si="42"/>
        <v/>
      </c>
      <c r="K521" s="17" t="str">
        <f t="shared" si="43"/>
        <v/>
      </c>
      <c r="L521" s="18" t="str">
        <f t="shared" si="44"/>
        <v/>
      </c>
      <c r="M521" s="18" t="str">
        <f>IF(J521&lt;&gt;-1,"",ROUND(F521*IFERROR(INDEX(Stocuri!$G$5:$G$204,MATCH(D521,Coduri,0)),0),2))</f>
        <v/>
      </c>
      <c r="N521" s="19" t="str">
        <f t="shared" si="45"/>
        <v/>
      </c>
    </row>
    <row r="522" spans="2:14" x14ac:dyDescent="0.2">
      <c r="B522" s="15"/>
      <c r="C522" s="6"/>
      <c r="D522" s="12"/>
      <c r="E522" s="10" t="str">
        <f t="shared" si="41"/>
        <v/>
      </c>
      <c r="F522" s="16"/>
      <c r="G522" s="13"/>
      <c r="H522" s="6"/>
      <c r="I522" s="6"/>
      <c r="J522" s="11" t="str">
        <f t="shared" si="42"/>
        <v/>
      </c>
      <c r="K522" s="17" t="str">
        <f t="shared" si="43"/>
        <v/>
      </c>
      <c r="L522" s="18" t="str">
        <f t="shared" si="44"/>
        <v/>
      </c>
      <c r="M522" s="18" t="str">
        <f>IF(J522&lt;&gt;-1,"",ROUND(F522*IFERROR(INDEX(Stocuri!$G$5:$G$204,MATCH(D522,Coduri,0)),0),2))</f>
        <v/>
      </c>
      <c r="N522" s="19" t="str">
        <f t="shared" si="45"/>
        <v/>
      </c>
    </row>
    <row r="523" spans="2:14" x14ac:dyDescent="0.2">
      <c r="B523" s="15"/>
      <c r="C523" s="6"/>
      <c r="D523" s="12"/>
      <c r="E523" s="10" t="str">
        <f t="shared" si="41"/>
        <v/>
      </c>
      <c r="F523" s="16"/>
      <c r="G523" s="13"/>
      <c r="H523" s="6"/>
      <c r="I523" s="6"/>
      <c r="J523" s="11" t="str">
        <f t="shared" si="42"/>
        <v/>
      </c>
      <c r="K523" s="17" t="str">
        <f t="shared" si="43"/>
        <v/>
      </c>
      <c r="L523" s="18" t="str">
        <f t="shared" si="44"/>
        <v/>
      </c>
      <c r="M523" s="18" t="str">
        <f>IF(J523&lt;&gt;-1,"",ROUND(F523*IFERROR(INDEX(Stocuri!$G$5:$G$204,MATCH(D523,Coduri,0)),0),2))</f>
        <v/>
      </c>
      <c r="N523" s="19" t="str">
        <f t="shared" si="45"/>
        <v/>
      </c>
    </row>
    <row r="524" spans="2:14" x14ac:dyDescent="0.2">
      <c r="B524" s="15"/>
      <c r="C524" s="6"/>
      <c r="D524" s="12"/>
      <c r="E524" s="10" t="str">
        <f t="shared" si="41"/>
        <v/>
      </c>
      <c r="F524" s="16"/>
      <c r="G524" s="13"/>
      <c r="H524" s="6"/>
      <c r="I524" s="6"/>
      <c r="J524" s="11" t="str">
        <f t="shared" si="42"/>
        <v/>
      </c>
      <c r="K524" s="17" t="str">
        <f t="shared" si="43"/>
        <v/>
      </c>
      <c r="L524" s="18" t="str">
        <f t="shared" si="44"/>
        <v/>
      </c>
      <c r="M524" s="18" t="str">
        <f>IF(J524&lt;&gt;-1,"",ROUND(F524*IFERROR(INDEX(Stocuri!$G$5:$G$204,MATCH(D524,Coduri,0)),0),2))</f>
        <v/>
      </c>
      <c r="N524" s="19" t="str">
        <f t="shared" si="45"/>
        <v/>
      </c>
    </row>
    <row r="525" spans="2:14" x14ac:dyDescent="0.2">
      <c r="B525" s="15"/>
      <c r="C525" s="6"/>
      <c r="D525" s="12"/>
      <c r="E525" s="10" t="str">
        <f t="shared" si="41"/>
        <v/>
      </c>
      <c r="F525" s="16"/>
      <c r="G525" s="13"/>
      <c r="H525" s="6"/>
      <c r="I525" s="6"/>
      <c r="J525" s="11" t="str">
        <f t="shared" si="42"/>
        <v/>
      </c>
      <c r="K525" s="17" t="str">
        <f t="shared" si="43"/>
        <v/>
      </c>
      <c r="L525" s="18" t="str">
        <f t="shared" si="44"/>
        <v/>
      </c>
      <c r="M525" s="18" t="str">
        <f>IF(J525&lt;&gt;-1,"",ROUND(F525*IFERROR(INDEX(Stocuri!$G$5:$G$204,MATCH(D525,Coduri,0)),0),2))</f>
        <v/>
      </c>
      <c r="N525" s="19" t="str">
        <f t="shared" si="45"/>
        <v/>
      </c>
    </row>
    <row r="526" spans="2:14" x14ac:dyDescent="0.2">
      <c r="B526" s="15"/>
      <c r="C526" s="6"/>
      <c r="D526" s="12"/>
      <c r="E526" s="10" t="str">
        <f t="shared" si="41"/>
        <v/>
      </c>
      <c r="F526" s="16"/>
      <c r="G526" s="13"/>
      <c r="H526" s="6"/>
      <c r="I526" s="6"/>
      <c r="J526" s="11" t="str">
        <f t="shared" si="42"/>
        <v/>
      </c>
      <c r="K526" s="17" t="str">
        <f t="shared" si="43"/>
        <v/>
      </c>
      <c r="L526" s="18" t="str">
        <f t="shared" si="44"/>
        <v/>
      </c>
      <c r="M526" s="18" t="str">
        <f>IF(J526&lt;&gt;-1,"",ROUND(F526*IFERROR(INDEX(Stocuri!$G$5:$G$204,MATCH(D526,Coduri,0)),0),2))</f>
        <v/>
      </c>
      <c r="N526" s="19" t="str">
        <f t="shared" si="45"/>
        <v/>
      </c>
    </row>
    <row r="527" spans="2:14" x14ac:dyDescent="0.2">
      <c r="B527" s="15"/>
      <c r="C527" s="6"/>
      <c r="D527" s="12"/>
      <c r="E527" s="10" t="str">
        <f t="shared" si="41"/>
        <v/>
      </c>
      <c r="F527" s="16"/>
      <c r="G527" s="13"/>
      <c r="H527" s="6"/>
      <c r="I527" s="6"/>
      <c r="J527" s="11" t="str">
        <f t="shared" si="42"/>
        <v/>
      </c>
      <c r="K527" s="17" t="str">
        <f t="shared" si="43"/>
        <v/>
      </c>
      <c r="L527" s="18" t="str">
        <f t="shared" si="44"/>
        <v/>
      </c>
      <c r="M527" s="18" t="str">
        <f>IF(J527&lt;&gt;-1,"",ROUND(F527*IFERROR(INDEX(Stocuri!$G$5:$G$204,MATCH(D527,Coduri,0)),0),2))</f>
        <v/>
      </c>
      <c r="N527" s="19" t="str">
        <f t="shared" si="45"/>
        <v/>
      </c>
    </row>
    <row r="528" spans="2:14" x14ac:dyDescent="0.2">
      <c r="B528" s="15"/>
      <c r="C528" s="6"/>
      <c r="D528" s="12"/>
      <c r="E528" s="10" t="str">
        <f t="shared" si="41"/>
        <v/>
      </c>
      <c r="F528" s="16"/>
      <c r="G528" s="13"/>
      <c r="H528" s="6"/>
      <c r="I528" s="6"/>
      <c r="J528" s="11" t="str">
        <f t="shared" si="42"/>
        <v/>
      </c>
      <c r="K528" s="17" t="str">
        <f t="shared" si="43"/>
        <v/>
      </c>
      <c r="L528" s="18" t="str">
        <f t="shared" si="44"/>
        <v/>
      </c>
      <c r="M528" s="18" t="str">
        <f>IF(J528&lt;&gt;-1,"",ROUND(F528*IFERROR(INDEX(Stocuri!$G$5:$G$204,MATCH(D528,Coduri,0)),0),2))</f>
        <v/>
      </c>
      <c r="N528" s="19" t="str">
        <f t="shared" si="45"/>
        <v/>
      </c>
    </row>
    <row r="529" spans="2:14" x14ac:dyDescent="0.2">
      <c r="B529" s="15"/>
      <c r="C529" s="6"/>
      <c r="D529" s="12"/>
      <c r="E529" s="10" t="str">
        <f t="shared" si="41"/>
        <v/>
      </c>
      <c r="F529" s="16"/>
      <c r="G529" s="13"/>
      <c r="H529" s="6"/>
      <c r="I529" s="6"/>
      <c r="J529" s="11" t="str">
        <f t="shared" si="42"/>
        <v/>
      </c>
      <c r="K529" s="17" t="str">
        <f t="shared" si="43"/>
        <v/>
      </c>
      <c r="L529" s="18" t="str">
        <f t="shared" si="44"/>
        <v/>
      </c>
      <c r="M529" s="18" t="str">
        <f>IF(J529&lt;&gt;-1,"",ROUND(F529*IFERROR(INDEX(Stocuri!$G$5:$G$204,MATCH(D529,Coduri,0)),0),2))</f>
        <v/>
      </c>
      <c r="N529" s="19" t="str">
        <f t="shared" si="45"/>
        <v/>
      </c>
    </row>
    <row r="530" spans="2:14" x14ac:dyDescent="0.2">
      <c r="B530" s="15"/>
      <c r="C530" s="6"/>
      <c r="D530" s="12"/>
      <c r="E530" s="10" t="str">
        <f t="shared" si="41"/>
        <v/>
      </c>
      <c r="F530" s="16"/>
      <c r="G530" s="13"/>
      <c r="H530" s="6"/>
      <c r="I530" s="6"/>
      <c r="J530" s="11" t="str">
        <f t="shared" si="42"/>
        <v/>
      </c>
      <c r="K530" s="17" t="str">
        <f t="shared" si="43"/>
        <v/>
      </c>
      <c r="L530" s="18" t="str">
        <f t="shared" si="44"/>
        <v/>
      </c>
      <c r="M530" s="18" t="str">
        <f>IF(J530&lt;&gt;-1,"",ROUND(F530*IFERROR(INDEX(Stocuri!$G$5:$G$204,MATCH(D530,Coduri,0)),0),2))</f>
        <v/>
      </c>
      <c r="N530" s="19" t="str">
        <f t="shared" si="45"/>
        <v/>
      </c>
    </row>
    <row r="531" spans="2:14" x14ac:dyDescent="0.2">
      <c r="B531" s="15"/>
      <c r="C531" s="6"/>
      <c r="D531" s="12"/>
      <c r="E531" s="10" t="str">
        <f t="shared" si="41"/>
        <v/>
      </c>
      <c r="F531" s="16"/>
      <c r="G531" s="13"/>
      <c r="H531" s="6"/>
      <c r="I531" s="6"/>
      <c r="J531" s="11" t="str">
        <f t="shared" si="42"/>
        <v/>
      </c>
      <c r="K531" s="17" t="str">
        <f t="shared" si="43"/>
        <v/>
      </c>
      <c r="L531" s="18" t="str">
        <f t="shared" si="44"/>
        <v/>
      </c>
      <c r="M531" s="18" t="str">
        <f>IF(J531&lt;&gt;-1,"",ROUND(F531*IFERROR(INDEX(Stocuri!$G$5:$G$204,MATCH(D531,Coduri,0)),0),2))</f>
        <v/>
      </c>
      <c r="N531" s="19" t="str">
        <f t="shared" si="45"/>
        <v/>
      </c>
    </row>
    <row r="532" spans="2:14" x14ac:dyDescent="0.2">
      <c r="B532" s="15"/>
      <c r="C532" s="6"/>
      <c r="D532" s="12"/>
      <c r="E532" s="10" t="str">
        <f t="shared" si="41"/>
        <v/>
      </c>
      <c r="F532" s="16"/>
      <c r="G532" s="13"/>
      <c r="H532" s="6"/>
      <c r="I532" s="6"/>
      <c r="J532" s="11" t="str">
        <f t="shared" si="42"/>
        <v/>
      </c>
      <c r="K532" s="17" t="str">
        <f t="shared" si="43"/>
        <v/>
      </c>
      <c r="L532" s="18" t="str">
        <f t="shared" si="44"/>
        <v/>
      </c>
      <c r="M532" s="18" t="str">
        <f>IF(J532&lt;&gt;-1,"",ROUND(F532*IFERROR(INDEX(Stocuri!$G$5:$G$204,MATCH(D532,Coduri,0)),0),2))</f>
        <v/>
      </c>
      <c r="N532" s="19" t="str">
        <f t="shared" si="45"/>
        <v/>
      </c>
    </row>
    <row r="533" spans="2:14" x14ac:dyDescent="0.2">
      <c r="B533" s="15"/>
      <c r="C533" s="6"/>
      <c r="D533" s="12"/>
      <c r="E533" s="10" t="str">
        <f t="shared" si="41"/>
        <v/>
      </c>
      <c r="F533" s="16"/>
      <c r="G533" s="13"/>
      <c r="H533" s="6"/>
      <c r="I533" s="6"/>
      <c r="J533" s="11" t="str">
        <f t="shared" si="42"/>
        <v/>
      </c>
      <c r="K533" s="17" t="str">
        <f t="shared" si="43"/>
        <v/>
      </c>
      <c r="L533" s="18" t="str">
        <f t="shared" si="44"/>
        <v/>
      </c>
      <c r="M533" s="18" t="str">
        <f>IF(J533&lt;&gt;-1,"",ROUND(F533*IFERROR(INDEX(Stocuri!$G$5:$G$204,MATCH(D533,Coduri,0)),0),2))</f>
        <v/>
      </c>
      <c r="N533" s="19" t="str">
        <f t="shared" si="45"/>
        <v/>
      </c>
    </row>
    <row r="534" spans="2:14" x14ac:dyDescent="0.2">
      <c r="B534" s="15"/>
      <c r="C534" s="6"/>
      <c r="D534" s="12"/>
      <c r="E534" s="10" t="str">
        <f t="shared" si="41"/>
        <v/>
      </c>
      <c r="F534" s="16"/>
      <c r="G534" s="13"/>
      <c r="H534" s="6"/>
      <c r="I534" s="6"/>
      <c r="J534" s="11" t="str">
        <f t="shared" si="42"/>
        <v/>
      </c>
      <c r="K534" s="17" t="str">
        <f t="shared" si="43"/>
        <v/>
      </c>
      <c r="L534" s="18" t="str">
        <f t="shared" si="44"/>
        <v/>
      </c>
      <c r="M534" s="18" t="str">
        <f>IF(J534&lt;&gt;-1,"",ROUND(F534*IFERROR(INDEX(Stocuri!$G$5:$G$204,MATCH(D534,Coduri,0)),0),2))</f>
        <v/>
      </c>
      <c r="N534" s="19" t="str">
        <f t="shared" si="45"/>
        <v/>
      </c>
    </row>
    <row r="535" spans="2:14" x14ac:dyDescent="0.2">
      <c r="B535" s="15"/>
      <c r="C535" s="6"/>
      <c r="D535" s="12"/>
      <c r="E535" s="10" t="str">
        <f t="shared" si="41"/>
        <v/>
      </c>
      <c r="F535" s="16"/>
      <c r="G535" s="13"/>
      <c r="H535" s="6"/>
      <c r="I535" s="6"/>
      <c r="J535" s="11" t="str">
        <f t="shared" si="42"/>
        <v/>
      </c>
      <c r="K535" s="17" t="str">
        <f t="shared" si="43"/>
        <v/>
      </c>
      <c r="L535" s="18" t="str">
        <f t="shared" si="44"/>
        <v/>
      </c>
      <c r="M535" s="18" t="str">
        <f>IF(J535&lt;&gt;-1,"",ROUND(F535*IFERROR(INDEX(Stocuri!$G$5:$G$204,MATCH(D535,Coduri,0)),0),2))</f>
        <v/>
      </c>
      <c r="N535" s="19" t="str">
        <f t="shared" si="45"/>
        <v/>
      </c>
    </row>
    <row r="536" spans="2:14" x14ac:dyDescent="0.2">
      <c r="B536" s="15"/>
      <c r="C536" s="6"/>
      <c r="D536" s="12"/>
      <c r="E536" s="10" t="str">
        <f t="shared" si="41"/>
        <v/>
      </c>
      <c r="F536" s="16"/>
      <c r="G536" s="13"/>
      <c r="H536" s="6"/>
      <c r="I536" s="6"/>
      <c r="J536" s="11" t="str">
        <f t="shared" si="42"/>
        <v/>
      </c>
      <c r="K536" s="17" t="str">
        <f t="shared" si="43"/>
        <v/>
      </c>
      <c r="L536" s="18" t="str">
        <f t="shared" si="44"/>
        <v/>
      </c>
      <c r="M536" s="18" t="str">
        <f>IF(J536&lt;&gt;-1,"",ROUND(F536*IFERROR(INDEX(Stocuri!$G$5:$G$204,MATCH(D536,Coduri,0)),0),2))</f>
        <v/>
      </c>
      <c r="N536" s="19" t="str">
        <f t="shared" si="45"/>
        <v/>
      </c>
    </row>
    <row r="537" spans="2:14" x14ac:dyDescent="0.2">
      <c r="B537" s="15"/>
      <c r="C537" s="6"/>
      <c r="D537" s="12"/>
      <c r="E537" s="10" t="str">
        <f t="shared" si="41"/>
        <v/>
      </c>
      <c r="F537" s="16"/>
      <c r="G537" s="13"/>
      <c r="H537" s="6"/>
      <c r="I537" s="6"/>
      <c r="J537" s="11" t="str">
        <f t="shared" si="42"/>
        <v/>
      </c>
      <c r="K537" s="17" t="str">
        <f t="shared" si="43"/>
        <v/>
      </c>
      <c r="L537" s="18" t="str">
        <f t="shared" si="44"/>
        <v/>
      </c>
      <c r="M537" s="18" t="str">
        <f>IF(J537&lt;&gt;-1,"",ROUND(F537*IFERROR(INDEX(Stocuri!$G$5:$G$204,MATCH(D537,Coduri,0)),0),2))</f>
        <v/>
      </c>
      <c r="N537" s="19" t="str">
        <f t="shared" si="45"/>
        <v/>
      </c>
    </row>
    <row r="538" spans="2:14" x14ac:dyDescent="0.2">
      <c r="B538" s="15"/>
      <c r="C538" s="6"/>
      <c r="D538" s="12"/>
      <c r="E538" s="10" t="str">
        <f t="shared" si="41"/>
        <v/>
      </c>
      <c r="F538" s="16"/>
      <c r="G538" s="13"/>
      <c r="H538" s="6"/>
      <c r="I538" s="6"/>
      <c r="J538" s="11" t="str">
        <f t="shared" si="42"/>
        <v/>
      </c>
      <c r="K538" s="17" t="str">
        <f t="shared" si="43"/>
        <v/>
      </c>
      <c r="L538" s="18" t="str">
        <f t="shared" si="44"/>
        <v/>
      </c>
      <c r="M538" s="18" t="str">
        <f>IF(J538&lt;&gt;-1,"",ROUND(F538*IFERROR(INDEX(Stocuri!$G$5:$G$204,MATCH(D538,Coduri,0)),0),2))</f>
        <v/>
      </c>
      <c r="N538" s="19" t="str">
        <f t="shared" si="45"/>
        <v/>
      </c>
    </row>
    <row r="539" spans="2:14" x14ac:dyDescent="0.2">
      <c r="B539" s="15"/>
      <c r="C539" s="6"/>
      <c r="D539" s="12"/>
      <c r="E539" s="10" t="str">
        <f t="shared" si="41"/>
        <v/>
      </c>
      <c r="F539" s="16"/>
      <c r="G539" s="13"/>
      <c r="H539" s="6"/>
      <c r="I539" s="6"/>
      <c r="J539" s="11" t="str">
        <f t="shared" si="42"/>
        <v/>
      </c>
      <c r="K539" s="17" t="str">
        <f t="shared" si="43"/>
        <v/>
      </c>
      <c r="L539" s="18" t="str">
        <f t="shared" si="44"/>
        <v/>
      </c>
      <c r="M539" s="18" t="str">
        <f>IF(J539&lt;&gt;-1,"",ROUND(F539*IFERROR(INDEX(Stocuri!$G$5:$G$204,MATCH(D539,Coduri,0)),0),2))</f>
        <v/>
      </c>
      <c r="N539" s="19" t="str">
        <f t="shared" si="45"/>
        <v/>
      </c>
    </row>
    <row r="540" spans="2:14" x14ac:dyDescent="0.2">
      <c r="B540" s="15"/>
      <c r="C540" s="6"/>
      <c r="D540" s="12"/>
      <c r="E540" s="10" t="str">
        <f t="shared" si="41"/>
        <v/>
      </c>
      <c r="F540" s="16"/>
      <c r="G540" s="13"/>
      <c r="H540" s="6"/>
      <c r="I540" s="6"/>
      <c r="J540" s="11" t="str">
        <f t="shared" si="42"/>
        <v/>
      </c>
      <c r="K540" s="17" t="str">
        <f t="shared" si="43"/>
        <v/>
      </c>
      <c r="L540" s="18" t="str">
        <f t="shared" si="44"/>
        <v/>
      </c>
      <c r="M540" s="18" t="str">
        <f>IF(J540&lt;&gt;-1,"",ROUND(F540*IFERROR(INDEX(Stocuri!$G$5:$G$204,MATCH(D540,Coduri,0)),0),2))</f>
        <v/>
      </c>
      <c r="N540" s="19" t="str">
        <f t="shared" si="45"/>
        <v/>
      </c>
    </row>
    <row r="541" spans="2:14" x14ac:dyDescent="0.2">
      <c r="B541" s="15"/>
      <c r="C541" s="6"/>
      <c r="D541" s="12"/>
      <c r="E541" s="10" t="str">
        <f t="shared" si="41"/>
        <v/>
      </c>
      <c r="F541" s="16"/>
      <c r="G541" s="13"/>
      <c r="H541" s="6"/>
      <c r="I541" s="6"/>
      <c r="J541" s="11" t="str">
        <f t="shared" si="42"/>
        <v/>
      </c>
      <c r="K541" s="17" t="str">
        <f t="shared" si="43"/>
        <v/>
      </c>
      <c r="L541" s="18" t="str">
        <f t="shared" si="44"/>
        <v/>
      </c>
      <c r="M541" s="18" t="str">
        <f>IF(J541&lt;&gt;-1,"",ROUND(F541*IFERROR(INDEX(Stocuri!$G$5:$G$204,MATCH(D541,Coduri,0)),0),2))</f>
        <v/>
      </c>
      <c r="N541" s="19" t="str">
        <f t="shared" si="45"/>
        <v/>
      </c>
    </row>
    <row r="542" spans="2:14" x14ac:dyDescent="0.2">
      <c r="B542" s="15"/>
      <c r="C542" s="6"/>
      <c r="D542" s="12"/>
      <c r="E542" s="10" t="str">
        <f t="shared" si="41"/>
        <v/>
      </c>
      <c r="F542" s="16"/>
      <c r="G542" s="13"/>
      <c r="H542" s="6"/>
      <c r="I542" s="6"/>
      <c r="J542" s="11" t="str">
        <f t="shared" si="42"/>
        <v/>
      </c>
      <c r="K542" s="17" t="str">
        <f t="shared" si="43"/>
        <v/>
      </c>
      <c r="L542" s="18" t="str">
        <f t="shared" si="44"/>
        <v/>
      </c>
      <c r="M542" s="18" t="str">
        <f>IF(J542&lt;&gt;-1,"",ROUND(F542*IFERROR(INDEX(Stocuri!$G$5:$G$204,MATCH(D542,Coduri,0)),0),2))</f>
        <v/>
      </c>
      <c r="N542" s="19" t="str">
        <f t="shared" si="45"/>
        <v/>
      </c>
    </row>
    <row r="543" spans="2:14" x14ac:dyDescent="0.2">
      <c r="B543" s="15"/>
      <c r="C543" s="6"/>
      <c r="D543" s="12"/>
      <c r="E543" s="10" t="str">
        <f t="shared" si="41"/>
        <v/>
      </c>
      <c r="F543" s="16"/>
      <c r="G543" s="13"/>
      <c r="H543" s="6"/>
      <c r="I543" s="6"/>
      <c r="J543" s="11" t="str">
        <f t="shared" si="42"/>
        <v/>
      </c>
      <c r="K543" s="17" t="str">
        <f t="shared" si="43"/>
        <v/>
      </c>
      <c r="L543" s="18" t="str">
        <f t="shared" si="44"/>
        <v/>
      </c>
      <c r="M543" s="18" t="str">
        <f>IF(J543&lt;&gt;-1,"",ROUND(F543*IFERROR(INDEX(Stocuri!$G$5:$G$204,MATCH(D543,Coduri,0)),0),2))</f>
        <v/>
      </c>
      <c r="N543" s="19" t="str">
        <f t="shared" si="45"/>
        <v/>
      </c>
    </row>
    <row r="544" spans="2:14" x14ac:dyDescent="0.2">
      <c r="B544" s="15"/>
      <c r="C544" s="6"/>
      <c r="D544" s="12"/>
      <c r="E544" s="10" t="str">
        <f t="shared" si="41"/>
        <v/>
      </c>
      <c r="F544" s="16"/>
      <c r="G544" s="13"/>
      <c r="H544" s="6"/>
      <c r="I544" s="6"/>
      <c r="J544" s="11" t="str">
        <f t="shared" si="42"/>
        <v/>
      </c>
      <c r="K544" s="17" t="str">
        <f t="shared" si="43"/>
        <v/>
      </c>
      <c r="L544" s="18" t="str">
        <f t="shared" si="44"/>
        <v/>
      </c>
      <c r="M544" s="18" t="str">
        <f>IF(J544&lt;&gt;-1,"",ROUND(F544*IFERROR(INDEX(Stocuri!$G$5:$G$204,MATCH(D544,Coduri,0)),0),2))</f>
        <v/>
      </c>
      <c r="N544" s="19" t="str">
        <f t="shared" si="45"/>
        <v/>
      </c>
    </row>
    <row r="545" spans="2:14" x14ac:dyDescent="0.2">
      <c r="B545" s="15"/>
      <c r="C545" s="6"/>
      <c r="D545" s="12"/>
      <c r="E545" s="10" t="str">
        <f t="shared" si="41"/>
        <v/>
      </c>
      <c r="F545" s="16"/>
      <c r="G545" s="13"/>
      <c r="H545" s="6"/>
      <c r="I545" s="6"/>
      <c r="J545" s="11" t="str">
        <f t="shared" si="42"/>
        <v/>
      </c>
      <c r="K545" s="17" t="str">
        <f t="shared" si="43"/>
        <v/>
      </c>
      <c r="L545" s="18" t="str">
        <f t="shared" si="44"/>
        <v/>
      </c>
      <c r="M545" s="18" t="str">
        <f>IF(J545&lt;&gt;-1,"",ROUND(F545*IFERROR(INDEX(Stocuri!$G$5:$G$204,MATCH(D545,Coduri,0)),0),2))</f>
        <v/>
      </c>
      <c r="N545" s="19" t="str">
        <f t="shared" si="45"/>
        <v/>
      </c>
    </row>
    <row r="546" spans="2:14" x14ac:dyDescent="0.2">
      <c r="B546" s="15"/>
      <c r="C546" s="6"/>
      <c r="D546" s="12"/>
      <c r="E546" s="10" t="str">
        <f t="shared" si="41"/>
        <v/>
      </c>
      <c r="F546" s="16"/>
      <c r="G546" s="13"/>
      <c r="H546" s="6"/>
      <c r="I546" s="6"/>
      <c r="J546" s="11" t="str">
        <f t="shared" si="42"/>
        <v/>
      </c>
      <c r="K546" s="17" t="str">
        <f t="shared" si="43"/>
        <v/>
      </c>
      <c r="L546" s="18" t="str">
        <f t="shared" si="44"/>
        <v/>
      </c>
      <c r="M546" s="18" t="str">
        <f>IF(J546&lt;&gt;-1,"",ROUND(F546*IFERROR(INDEX(Stocuri!$G$5:$G$204,MATCH(D546,Coduri,0)),0),2))</f>
        <v/>
      </c>
      <c r="N546" s="19" t="str">
        <f t="shared" si="45"/>
        <v/>
      </c>
    </row>
    <row r="547" spans="2:14" x14ac:dyDescent="0.2">
      <c r="B547" s="15"/>
      <c r="C547" s="6"/>
      <c r="D547" s="12"/>
      <c r="E547" s="10" t="str">
        <f t="shared" si="41"/>
        <v/>
      </c>
      <c r="F547" s="16"/>
      <c r="G547" s="13"/>
      <c r="H547" s="6"/>
      <c r="I547" s="6"/>
      <c r="J547" s="11" t="str">
        <f t="shared" si="42"/>
        <v/>
      </c>
      <c r="K547" s="17" t="str">
        <f t="shared" si="43"/>
        <v/>
      </c>
      <c r="L547" s="18" t="str">
        <f t="shared" si="44"/>
        <v/>
      </c>
      <c r="M547" s="18" t="str">
        <f>IF(J547&lt;&gt;-1,"",ROUND(F547*IFERROR(INDEX(Stocuri!$G$5:$G$204,MATCH(D547,Coduri,0)),0),2))</f>
        <v/>
      </c>
      <c r="N547" s="19" t="str">
        <f t="shared" si="45"/>
        <v/>
      </c>
    </row>
    <row r="548" spans="2:14" x14ac:dyDescent="0.2">
      <c r="B548" s="15"/>
      <c r="C548" s="6"/>
      <c r="D548" s="12"/>
      <c r="E548" s="10" t="str">
        <f t="shared" si="41"/>
        <v/>
      </c>
      <c r="F548" s="16"/>
      <c r="G548" s="13"/>
      <c r="H548" s="6"/>
      <c r="I548" s="6"/>
      <c r="J548" s="11" t="str">
        <f t="shared" si="42"/>
        <v/>
      </c>
      <c r="K548" s="17" t="str">
        <f t="shared" si="43"/>
        <v/>
      </c>
      <c r="L548" s="18" t="str">
        <f t="shared" si="44"/>
        <v/>
      </c>
      <c r="M548" s="18" t="str">
        <f>IF(J548&lt;&gt;-1,"",ROUND(F548*IFERROR(INDEX(Stocuri!$G$5:$G$204,MATCH(D548,Coduri,0)),0),2))</f>
        <v/>
      </c>
      <c r="N548" s="19" t="str">
        <f t="shared" si="45"/>
        <v/>
      </c>
    </row>
    <row r="549" spans="2:14" x14ac:dyDescent="0.2">
      <c r="B549" s="15"/>
      <c r="C549" s="6"/>
      <c r="D549" s="12"/>
      <c r="E549" s="10" t="str">
        <f t="shared" si="41"/>
        <v/>
      </c>
      <c r="F549" s="16"/>
      <c r="G549" s="13"/>
      <c r="H549" s="6"/>
      <c r="I549" s="6"/>
      <c r="J549" s="11" t="str">
        <f t="shared" si="42"/>
        <v/>
      </c>
      <c r="K549" s="17" t="str">
        <f t="shared" si="43"/>
        <v/>
      </c>
      <c r="L549" s="18" t="str">
        <f t="shared" si="44"/>
        <v/>
      </c>
      <c r="M549" s="18" t="str">
        <f>IF(J549&lt;&gt;-1,"",ROUND(F549*IFERROR(INDEX(Stocuri!$G$5:$G$204,MATCH(D549,Coduri,0)),0),2))</f>
        <v/>
      </c>
      <c r="N549" s="19" t="str">
        <f t="shared" si="45"/>
        <v/>
      </c>
    </row>
    <row r="550" spans="2:14" x14ac:dyDescent="0.2">
      <c r="B550" s="15"/>
      <c r="C550" s="6"/>
      <c r="D550" s="12"/>
      <c r="E550" s="10" t="str">
        <f t="shared" si="41"/>
        <v/>
      </c>
      <c r="F550" s="16"/>
      <c r="G550" s="13"/>
      <c r="H550" s="6"/>
      <c r="I550" s="6"/>
      <c r="J550" s="11" t="str">
        <f t="shared" si="42"/>
        <v/>
      </c>
      <c r="K550" s="17" t="str">
        <f t="shared" si="43"/>
        <v/>
      </c>
      <c r="L550" s="18" t="str">
        <f t="shared" si="44"/>
        <v/>
      </c>
      <c r="M550" s="18" t="str">
        <f>IF(J550&lt;&gt;-1,"",ROUND(F550*IFERROR(INDEX(Stocuri!$G$5:$G$204,MATCH(D550,Coduri,0)),0),2))</f>
        <v/>
      </c>
      <c r="N550" s="19" t="str">
        <f t="shared" si="45"/>
        <v/>
      </c>
    </row>
    <row r="551" spans="2:14" x14ac:dyDescent="0.2">
      <c r="B551" s="15"/>
      <c r="C551" s="6"/>
      <c r="D551" s="12"/>
      <c r="E551" s="10" t="str">
        <f t="shared" si="41"/>
        <v/>
      </c>
      <c r="F551" s="16"/>
      <c r="G551" s="13"/>
      <c r="H551" s="6"/>
      <c r="I551" s="6"/>
      <c r="J551" s="11" t="str">
        <f t="shared" si="42"/>
        <v/>
      </c>
      <c r="K551" s="17" t="str">
        <f t="shared" si="43"/>
        <v/>
      </c>
      <c r="L551" s="18" t="str">
        <f t="shared" si="44"/>
        <v/>
      </c>
      <c r="M551" s="18" t="str">
        <f>IF(J551&lt;&gt;-1,"",ROUND(F551*IFERROR(INDEX(Stocuri!$G$5:$G$204,MATCH(D551,Coduri,0)),0),2))</f>
        <v/>
      </c>
      <c r="N551" s="19" t="str">
        <f t="shared" si="45"/>
        <v/>
      </c>
    </row>
    <row r="552" spans="2:14" x14ac:dyDescent="0.2">
      <c r="B552" s="15"/>
      <c r="C552" s="6"/>
      <c r="D552" s="12"/>
      <c r="E552" s="10" t="str">
        <f t="shared" si="41"/>
        <v/>
      </c>
      <c r="F552" s="16"/>
      <c r="G552" s="13"/>
      <c r="H552" s="6"/>
      <c r="I552" s="6"/>
      <c r="J552" s="11" t="str">
        <f t="shared" si="42"/>
        <v/>
      </c>
      <c r="K552" s="17" t="str">
        <f t="shared" si="43"/>
        <v/>
      </c>
      <c r="L552" s="18" t="str">
        <f t="shared" si="44"/>
        <v/>
      </c>
      <c r="M552" s="18" t="str">
        <f>IF(J552&lt;&gt;-1,"",ROUND(F552*IFERROR(INDEX(Stocuri!$G$5:$G$204,MATCH(D552,Coduri,0)),0),2))</f>
        <v/>
      </c>
      <c r="N552" s="19" t="str">
        <f t="shared" si="45"/>
        <v/>
      </c>
    </row>
    <row r="553" spans="2:14" x14ac:dyDescent="0.2">
      <c r="B553" s="15"/>
      <c r="C553" s="6"/>
      <c r="D553" s="12"/>
      <c r="E553" s="10" t="str">
        <f t="shared" si="41"/>
        <v/>
      </c>
      <c r="F553" s="16"/>
      <c r="G553" s="13"/>
      <c r="H553" s="6"/>
      <c r="I553" s="6"/>
      <c r="J553" s="11" t="str">
        <f t="shared" si="42"/>
        <v/>
      </c>
      <c r="K553" s="17" t="str">
        <f t="shared" si="43"/>
        <v/>
      </c>
      <c r="L553" s="18" t="str">
        <f t="shared" si="44"/>
        <v/>
      </c>
      <c r="M553" s="18" t="str">
        <f>IF(J553&lt;&gt;-1,"",ROUND(F553*IFERROR(INDEX(Stocuri!$G$5:$G$204,MATCH(D553,Coduri,0)),0),2))</f>
        <v/>
      </c>
      <c r="N553" s="19" t="str">
        <f t="shared" si="45"/>
        <v/>
      </c>
    </row>
    <row r="554" spans="2:14" x14ac:dyDescent="0.2">
      <c r="B554" s="15"/>
      <c r="C554" s="6"/>
      <c r="D554" s="12"/>
      <c r="E554" s="10" t="str">
        <f t="shared" si="41"/>
        <v/>
      </c>
      <c r="F554" s="16"/>
      <c r="G554" s="13"/>
      <c r="H554" s="6"/>
      <c r="I554" s="6"/>
      <c r="J554" s="11" t="str">
        <f t="shared" si="42"/>
        <v/>
      </c>
      <c r="K554" s="17" t="str">
        <f t="shared" si="43"/>
        <v/>
      </c>
      <c r="L554" s="18" t="str">
        <f t="shared" si="44"/>
        <v/>
      </c>
      <c r="M554" s="18" t="str">
        <f>IF(J554&lt;&gt;-1,"",ROUND(F554*IFERROR(INDEX(Stocuri!$G$5:$G$204,MATCH(D554,Coduri,0)),0),2))</f>
        <v/>
      </c>
      <c r="N554" s="19" t="str">
        <f t="shared" si="45"/>
        <v/>
      </c>
    </row>
    <row r="555" spans="2:14" x14ac:dyDescent="0.2">
      <c r="B555" s="15"/>
      <c r="C555" s="6"/>
      <c r="D555" s="12"/>
      <c r="E555" s="10" t="str">
        <f t="shared" si="41"/>
        <v/>
      </c>
      <c r="F555" s="16"/>
      <c r="G555" s="13"/>
      <c r="H555" s="6"/>
      <c r="I555" s="6"/>
      <c r="J555" s="11" t="str">
        <f t="shared" si="42"/>
        <v/>
      </c>
      <c r="K555" s="17" t="str">
        <f t="shared" si="43"/>
        <v/>
      </c>
      <c r="L555" s="18" t="str">
        <f t="shared" si="44"/>
        <v/>
      </c>
      <c r="M555" s="18" t="str">
        <f>IF(J555&lt;&gt;-1,"",ROUND(F555*IFERROR(INDEX(Stocuri!$G$5:$G$204,MATCH(D555,Coduri,0)),0),2))</f>
        <v/>
      </c>
      <c r="N555" s="19" t="str">
        <f t="shared" si="45"/>
        <v/>
      </c>
    </row>
    <row r="556" spans="2:14" x14ac:dyDescent="0.2">
      <c r="B556" s="15"/>
      <c r="C556" s="6"/>
      <c r="D556" s="12"/>
      <c r="E556" s="10" t="str">
        <f t="shared" si="41"/>
        <v/>
      </c>
      <c r="F556" s="16"/>
      <c r="G556" s="13"/>
      <c r="H556" s="6"/>
      <c r="I556" s="6"/>
      <c r="J556" s="11" t="str">
        <f t="shared" si="42"/>
        <v/>
      </c>
      <c r="K556" s="17" t="str">
        <f t="shared" si="43"/>
        <v/>
      </c>
      <c r="L556" s="18" t="str">
        <f t="shared" si="44"/>
        <v/>
      </c>
      <c r="M556" s="18" t="str">
        <f>IF(J556&lt;&gt;-1,"",ROUND(F556*IFERROR(INDEX(Stocuri!$G$5:$G$204,MATCH(D556,Coduri,0)),0),2))</f>
        <v/>
      </c>
      <c r="N556" s="19" t="str">
        <f t="shared" si="45"/>
        <v/>
      </c>
    </row>
    <row r="557" spans="2:14" x14ac:dyDescent="0.2">
      <c r="B557" s="15"/>
      <c r="C557" s="6"/>
      <c r="D557" s="12"/>
      <c r="E557" s="10" t="str">
        <f t="shared" si="41"/>
        <v/>
      </c>
      <c r="F557" s="16"/>
      <c r="G557" s="13"/>
      <c r="H557" s="6"/>
      <c r="I557" s="6"/>
      <c r="J557" s="11" t="str">
        <f t="shared" si="42"/>
        <v/>
      </c>
      <c r="K557" s="17" t="str">
        <f t="shared" si="43"/>
        <v/>
      </c>
      <c r="L557" s="18" t="str">
        <f t="shared" si="44"/>
        <v/>
      </c>
      <c r="M557" s="18" t="str">
        <f>IF(J557&lt;&gt;-1,"",ROUND(F557*IFERROR(INDEX(Stocuri!$G$5:$G$204,MATCH(D557,Coduri,0)),0),2))</f>
        <v/>
      </c>
      <c r="N557" s="19" t="str">
        <f t="shared" si="45"/>
        <v/>
      </c>
    </row>
    <row r="558" spans="2:14" x14ac:dyDescent="0.2">
      <c r="B558" s="15"/>
      <c r="C558" s="6"/>
      <c r="D558" s="12"/>
      <c r="E558" s="10" t="str">
        <f t="shared" si="41"/>
        <v/>
      </c>
      <c r="F558" s="16"/>
      <c r="G558" s="13"/>
      <c r="H558" s="6"/>
      <c r="I558" s="6"/>
      <c r="J558" s="11" t="str">
        <f t="shared" si="42"/>
        <v/>
      </c>
      <c r="K558" s="17" t="str">
        <f t="shared" si="43"/>
        <v/>
      </c>
      <c r="L558" s="18" t="str">
        <f t="shared" si="44"/>
        <v/>
      </c>
      <c r="M558" s="18" t="str">
        <f>IF(J558&lt;&gt;-1,"",ROUND(F558*IFERROR(INDEX(Stocuri!$G$5:$G$204,MATCH(D558,Coduri,0)),0),2))</f>
        <v/>
      </c>
      <c r="N558" s="19" t="str">
        <f t="shared" si="45"/>
        <v/>
      </c>
    </row>
    <row r="559" spans="2:14" x14ac:dyDescent="0.2">
      <c r="B559" s="15"/>
      <c r="C559" s="6"/>
      <c r="D559" s="12"/>
      <c r="E559" s="10" t="str">
        <f t="shared" si="41"/>
        <v/>
      </c>
      <c r="F559" s="16"/>
      <c r="G559" s="13"/>
      <c r="H559" s="6"/>
      <c r="I559" s="6"/>
      <c r="J559" s="11" t="str">
        <f t="shared" si="42"/>
        <v/>
      </c>
      <c r="K559" s="17" t="str">
        <f t="shared" si="43"/>
        <v/>
      </c>
      <c r="L559" s="18" t="str">
        <f t="shared" si="44"/>
        <v/>
      </c>
      <c r="M559" s="18" t="str">
        <f>IF(J559&lt;&gt;-1,"",ROUND(F559*IFERROR(INDEX(Stocuri!$G$5:$G$204,MATCH(D559,Coduri,0)),0),2))</f>
        <v/>
      </c>
      <c r="N559" s="19" t="str">
        <f t="shared" si="45"/>
        <v/>
      </c>
    </row>
    <row r="560" spans="2:14" x14ac:dyDescent="0.2">
      <c r="B560" s="15"/>
      <c r="C560" s="6"/>
      <c r="D560" s="12"/>
      <c r="E560" s="10" t="str">
        <f t="shared" si="41"/>
        <v/>
      </c>
      <c r="F560" s="16"/>
      <c r="G560" s="13"/>
      <c r="H560" s="6"/>
      <c r="I560" s="6"/>
      <c r="J560" s="11" t="str">
        <f t="shared" si="42"/>
        <v/>
      </c>
      <c r="K560" s="17" t="str">
        <f t="shared" si="43"/>
        <v/>
      </c>
      <c r="L560" s="18" t="str">
        <f t="shared" si="44"/>
        <v/>
      </c>
      <c r="M560" s="18" t="str">
        <f>IF(J560&lt;&gt;-1,"",ROUND(F560*IFERROR(INDEX(Stocuri!$G$5:$G$204,MATCH(D560,Coduri,0)),0),2))</f>
        <v/>
      </c>
      <c r="N560" s="19" t="str">
        <f t="shared" si="45"/>
        <v/>
      </c>
    </row>
    <row r="561" spans="2:14" x14ac:dyDescent="0.2">
      <c r="B561" s="15"/>
      <c r="C561" s="6"/>
      <c r="D561" s="12"/>
      <c r="E561" s="10" t="str">
        <f t="shared" si="41"/>
        <v/>
      </c>
      <c r="F561" s="16"/>
      <c r="G561" s="13"/>
      <c r="H561" s="6"/>
      <c r="I561" s="6"/>
      <c r="J561" s="11" t="str">
        <f t="shared" si="42"/>
        <v/>
      </c>
      <c r="K561" s="17" t="str">
        <f t="shared" si="43"/>
        <v/>
      </c>
      <c r="L561" s="18" t="str">
        <f t="shared" si="44"/>
        <v/>
      </c>
      <c r="M561" s="18" t="str">
        <f>IF(J561&lt;&gt;-1,"",ROUND(F561*IFERROR(INDEX(Stocuri!$G$5:$G$204,MATCH(D561,Coduri,0)),0),2))</f>
        <v/>
      </c>
      <c r="N561" s="19" t="str">
        <f t="shared" si="45"/>
        <v/>
      </c>
    </row>
    <row r="562" spans="2:14" x14ac:dyDescent="0.2">
      <c r="B562" s="15"/>
      <c r="C562" s="6"/>
      <c r="D562" s="12"/>
      <c r="E562" s="10" t="str">
        <f t="shared" si="41"/>
        <v/>
      </c>
      <c r="F562" s="16"/>
      <c r="G562" s="13"/>
      <c r="H562" s="6"/>
      <c r="I562" s="6"/>
      <c r="J562" s="11" t="str">
        <f t="shared" si="42"/>
        <v/>
      </c>
      <c r="K562" s="17" t="str">
        <f t="shared" si="43"/>
        <v/>
      </c>
      <c r="L562" s="18" t="str">
        <f t="shared" si="44"/>
        <v/>
      </c>
      <c r="M562" s="18" t="str">
        <f>IF(J562&lt;&gt;-1,"",ROUND(F562*IFERROR(INDEX(Stocuri!$G$5:$G$204,MATCH(D562,Coduri,0)),0),2))</f>
        <v/>
      </c>
      <c r="N562" s="19" t="str">
        <f t="shared" si="45"/>
        <v/>
      </c>
    </row>
    <row r="563" spans="2:14" x14ac:dyDescent="0.2">
      <c r="B563" s="15"/>
      <c r="C563" s="6"/>
      <c r="D563" s="12"/>
      <c r="E563" s="10" t="str">
        <f t="shared" si="41"/>
        <v/>
      </c>
      <c r="F563" s="16"/>
      <c r="G563" s="13"/>
      <c r="H563" s="6"/>
      <c r="I563" s="6"/>
      <c r="J563" s="11" t="str">
        <f t="shared" si="42"/>
        <v/>
      </c>
      <c r="K563" s="17" t="str">
        <f t="shared" si="43"/>
        <v/>
      </c>
      <c r="L563" s="18" t="str">
        <f t="shared" si="44"/>
        <v/>
      </c>
      <c r="M563" s="18" t="str">
        <f>IF(J563&lt;&gt;-1,"",ROUND(F563*IFERROR(INDEX(Stocuri!$G$5:$G$204,MATCH(D563,Coduri,0)),0),2))</f>
        <v/>
      </c>
      <c r="N563" s="19" t="str">
        <f t="shared" si="45"/>
        <v/>
      </c>
    </row>
    <row r="564" spans="2:14" x14ac:dyDescent="0.2">
      <c r="B564" s="15"/>
      <c r="C564" s="6"/>
      <c r="D564" s="12"/>
      <c r="E564" s="10" t="str">
        <f t="shared" si="41"/>
        <v/>
      </c>
      <c r="F564" s="16"/>
      <c r="G564" s="13"/>
      <c r="H564" s="6"/>
      <c r="I564" s="6"/>
      <c r="J564" s="11" t="str">
        <f t="shared" si="42"/>
        <v/>
      </c>
      <c r="K564" s="17" t="str">
        <f t="shared" si="43"/>
        <v/>
      </c>
      <c r="L564" s="18" t="str">
        <f t="shared" si="44"/>
        <v/>
      </c>
      <c r="M564" s="18" t="str">
        <f>IF(J564&lt;&gt;-1,"",ROUND(F564*IFERROR(INDEX(Stocuri!$G$5:$G$204,MATCH(D564,Coduri,0)),0),2))</f>
        <v/>
      </c>
      <c r="N564" s="19" t="str">
        <f t="shared" si="45"/>
        <v/>
      </c>
    </row>
    <row r="565" spans="2:14" x14ac:dyDescent="0.2">
      <c r="B565" s="15"/>
      <c r="C565" s="6"/>
      <c r="D565" s="12"/>
      <c r="E565" s="10" t="str">
        <f t="shared" si="41"/>
        <v/>
      </c>
      <c r="F565" s="16"/>
      <c r="G565" s="13"/>
      <c r="H565" s="6"/>
      <c r="I565" s="6"/>
      <c r="J565" s="11" t="str">
        <f t="shared" si="42"/>
        <v/>
      </c>
      <c r="K565" s="17" t="str">
        <f t="shared" si="43"/>
        <v/>
      </c>
      <c r="L565" s="18" t="str">
        <f t="shared" si="44"/>
        <v/>
      </c>
      <c r="M565" s="18" t="str">
        <f>IF(J565&lt;&gt;-1,"",ROUND(F565*IFERROR(INDEX(Stocuri!$G$5:$G$204,MATCH(D565,Coduri,0)),0),2))</f>
        <v/>
      </c>
      <c r="N565" s="19" t="str">
        <f t="shared" si="45"/>
        <v/>
      </c>
    </row>
    <row r="566" spans="2:14" x14ac:dyDescent="0.2">
      <c r="B566" s="15"/>
      <c r="C566" s="6"/>
      <c r="D566" s="12"/>
      <c r="E566" s="10" t="str">
        <f t="shared" si="41"/>
        <v/>
      </c>
      <c r="F566" s="16"/>
      <c r="G566" s="13"/>
      <c r="H566" s="6"/>
      <c r="I566" s="6"/>
      <c r="J566" s="11" t="str">
        <f t="shared" si="42"/>
        <v/>
      </c>
      <c r="K566" s="17" t="str">
        <f t="shared" si="43"/>
        <v/>
      </c>
      <c r="L566" s="18" t="str">
        <f t="shared" si="44"/>
        <v/>
      </c>
      <c r="M566" s="18" t="str">
        <f>IF(J566&lt;&gt;-1,"",ROUND(F566*IFERROR(INDEX(Stocuri!$G$5:$G$204,MATCH(D566,Coduri,0)),0),2))</f>
        <v/>
      </c>
      <c r="N566" s="19" t="str">
        <f t="shared" si="45"/>
        <v/>
      </c>
    </row>
    <row r="567" spans="2:14" x14ac:dyDescent="0.2">
      <c r="B567" s="15"/>
      <c r="C567" s="6"/>
      <c r="D567" s="12"/>
      <c r="E567" s="10" t="str">
        <f t="shared" si="41"/>
        <v/>
      </c>
      <c r="F567" s="16"/>
      <c r="G567" s="13"/>
      <c r="H567" s="6"/>
      <c r="I567" s="6"/>
      <c r="J567" s="11" t="str">
        <f t="shared" si="42"/>
        <v/>
      </c>
      <c r="K567" s="17" t="str">
        <f t="shared" si="43"/>
        <v/>
      </c>
      <c r="L567" s="18" t="str">
        <f t="shared" si="44"/>
        <v/>
      </c>
      <c r="M567" s="18" t="str">
        <f>IF(J567&lt;&gt;-1,"",ROUND(F567*IFERROR(INDEX(Stocuri!$G$5:$G$204,MATCH(D567,Coduri,0)),0),2))</f>
        <v/>
      </c>
      <c r="N567" s="19" t="str">
        <f t="shared" si="45"/>
        <v/>
      </c>
    </row>
    <row r="568" spans="2:14" x14ac:dyDescent="0.2">
      <c r="B568" s="15"/>
      <c r="C568" s="6"/>
      <c r="D568" s="12"/>
      <c r="E568" s="10" t="str">
        <f t="shared" si="41"/>
        <v/>
      </c>
      <c r="F568" s="16"/>
      <c r="G568" s="13"/>
      <c r="H568" s="6"/>
      <c r="I568" s="6"/>
      <c r="J568" s="11" t="str">
        <f t="shared" si="42"/>
        <v/>
      </c>
      <c r="K568" s="17" t="str">
        <f t="shared" si="43"/>
        <v/>
      </c>
      <c r="L568" s="18" t="str">
        <f t="shared" si="44"/>
        <v/>
      </c>
      <c r="M568" s="18" t="str">
        <f>IF(J568&lt;&gt;-1,"",ROUND(F568*IFERROR(INDEX(Stocuri!$G$5:$G$204,MATCH(D568,Coduri,0)),0),2))</f>
        <v/>
      </c>
      <c r="N568" s="19" t="str">
        <f t="shared" si="45"/>
        <v/>
      </c>
    </row>
    <row r="569" spans="2:14" x14ac:dyDescent="0.2">
      <c r="B569" s="15"/>
      <c r="C569" s="6"/>
      <c r="D569" s="12"/>
      <c r="E569" s="10" t="str">
        <f t="shared" si="41"/>
        <v/>
      </c>
      <c r="F569" s="16"/>
      <c r="G569" s="13"/>
      <c r="H569" s="6"/>
      <c r="I569" s="6"/>
      <c r="J569" s="11" t="str">
        <f t="shared" si="42"/>
        <v/>
      </c>
      <c r="K569" s="17" t="str">
        <f t="shared" si="43"/>
        <v/>
      </c>
      <c r="L569" s="18" t="str">
        <f t="shared" si="44"/>
        <v/>
      </c>
      <c r="M569" s="18" t="str">
        <f>IF(J569&lt;&gt;-1,"",ROUND(F569*IFERROR(INDEX(Stocuri!$G$5:$G$204,MATCH(D569,Coduri,0)),0),2))</f>
        <v/>
      </c>
      <c r="N569" s="19" t="str">
        <f t="shared" si="45"/>
        <v/>
      </c>
    </row>
    <row r="570" spans="2:14" x14ac:dyDescent="0.2">
      <c r="B570" s="15"/>
      <c r="C570" s="6"/>
      <c r="D570" s="12"/>
      <c r="E570" s="10" t="str">
        <f t="shared" si="41"/>
        <v/>
      </c>
      <c r="F570" s="16"/>
      <c r="G570" s="13"/>
      <c r="H570" s="6"/>
      <c r="I570" s="6"/>
      <c r="J570" s="11" t="str">
        <f t="shared" si="42"/>
        <v/>
      </c>
      <c r="K570" s="17" t="str">
        <f t="shared" si="43"/>
        <v/>
      </c>
      <c r="L570" s="18" t="str">
        <f t="shared" si="44"/>
        <v/>
      </c>
      <c r="M570" s="18" t="str">
        <f>IF(J570&lt;&gt;-1,"",ROUND(F570*IFERROR(INDEX(Stocuri!$G$5:$G$204,MATCH(D570,Coduri,0)),0),2))</f>
        <v/>
      </c>
      <c r="N570" s="19" t="str">
        <f t="shared" si="45"/>
        <v/>
      </c>
    </row>
    <row r="571" spans="2:14" x14ac:dyDescent="0.2">
      <c r="B571" s="15"/>
      <c r="C571" s="6"/>
      <c r="D571" s="12"/>
      <c r="E571" s="10" t="str">
        <f t="shared" si="41"/>
        <v/>
      </c>
      <c r="F571" s="16"/>
      <c r="G571" s="13"/>
      <c r="H571" s="6"/>
      <c r="I571" s="6"/>
      <c r="J571" s="11" t="str">
        <f t="shared" si="42"/>
        <v/>
      </c>
      <c r="K571" s="17" t="str">
        <f t="shared" si="43"/>
        <v/>
      </c>
      <c r="L571" s="18" t="str">
        <f t="shared" si="44"/>
        <v/>
      </c>
      <c r="M571" s="18" t="str">
        <f>IF(J571&lt;&gt;-1,"",ROUND(F571*IFERROR(INDEX(Stocuri!$G$5:$G$204,MATCH(D571,Coduri,0)),0),2))</f>
        <v/>
      </c>
      <c r="N571" s="19" t="str">
        <f t="shared" si="45"/>
        <v/>
      </c>
    </row>
    <row r="572" spans="2:14" x14ac:dyDescent="0.2">
      <c r="B572" s="15"/>
      <c r="C572" s="6"/>
      <c r="D572" s="12"/>
      <c r="E572" s="10" t="str">
        <f t="shared" si="41"/>
        <v/>
      </c>
      <c r="F572" s="16"/>
      <c r="G572" s="13"/>
      <c r="H572" s="6"/>
      <c r="I572" s="6"/>
      <c r="J572" s="11" t="str">
        <f t="shared" si="42"/>
        <v/>
      </c>
      <c r="K572" s="17" t="str">
        <f t="shared" si="43"/>
        <v/>
      </c>
      <c r="L572" s="18" t="str">
        <f t="shared" si="44"/>
        <v/>
      </c>
      <c r="M572" s="18" t="str">
        <f>IF(J572&lt;&gt;-1,"",ROUND(F572*IFERROR(INDEX(Stocuri!$G$5:$G$204,MATCH(D572,Coduri,0)),0),2))</f>
        <v/>
      </c>
      <c r="N572" s="19" t="str">
        <f t="shared" si="45"/>
        <v/>
      </c>
    </row>
    <row r="573" spans="2:14" x14ac:dyDescent="0.2">
      <c r="B573" s="15"/>
      <c r="C573" s="6"/>
      <c r="D573" s="12"/>
      <c r="E573" s="10" t="str">
        <f t="shared" si="41"/>
        <v/>
      </c>
      <c r="F573" s="16"/>
      <c r="G573" s="13"/>
      <c r="H573" s="6"/>
      <c r="I573" s="6"/>
      <c r="J573" s="11" t="str">
        <f t="shared" si="42"/>
        <v/>
      </c>
      <c r="K573" s="17" t="str">
        <f t="shared" si="43"/>
        <v/>
      </c>
      <c r="L573" s="18" t="str">
        <f t="shared" si="44"/>
        <v/>
      </c>
      <c r="M573" s="18" t="str">
        <f>IF(J573&lt;&gt;-1,"",ROUND(F573*IFERROR(INDEX(Stocuri!$G$5:$G$204,MATCH(D573,Coduri,0)),0),2))</f>
        <v/>
      </c>
      <c r="N573" s="19" t="str">
        <f t="shared" si="45"/>
        <v/>
      </c>
    </row>
    <row r="574" spans="2:14" x14ac:dyDescent="0.2">
      <c r="B574" s="15"/>
      <c r="C574" s="6"/>
      <c r="D574" s="12"/>
      <c r="E574" s="10" t="str">
        <f t="shared" si="41"/>
        <v/>
      </c>
      <c r="F574" s="16"/>
      <c r="G574" s="13"/>
      <c r="H574" s="6"/>
      <c r="I574" s="6"/>
      <c r="J574" s="11" t="str">
        <f t="shared" si="42"/>
        <v/>
      </c>
      <c r="K574" s="17" t="str">
        <f t="shared" si="43"/>
        <v/>
      </c>
      <c r="L574" s="18" t="str">
        <f t="shared" si="44"/>
        <v/>
      </c>
      <c r="M574" s="18" t="str">
        <f>IF(J574&lt;&gt;-1,"",ROUND(F574*IFERROR(INDEX(Stocuri!$G$5:$G$204,MATCH(D574,Coduri,0)),0),2))</f>
        <v/>
      </c>
      <c r="N574" s="19" t="str">
        <f t="shared" si="45"/>
        <v/>
      </c>
    </row>
    <row r="575" spans="2:14" x14ac:dyDescent="0.2">
      <c r="B575" s="15"/>
      <c r="C575" s="6"/>
      <c r="D575" s="12"/>
      <c r="E575" s="10" t="str">
        <f t="shared" si="41"/>
        <v/>
      </c>
      <c r="F575" s="16"/>
      <c r="G575" s="13"/>
      <c r="H575" s="6"/>
      <c r="I575" s="6"/>
      <c r="J575" s="11" t="str">
        <f t="shared" si="42"/>
        <v/>
      </c>
      <c r="K575" s="17" t="str">
        <f t="shared" si="43"/>
        <v/>
      </c>
      <c r="L575" s="18" t="str">
        <f t="shared" si="44"/>
        <v/>
      </c>
      <c r="M575" s="18" t="str">
        <f>IF(J575&lt;&gt;-1,"",ROUND(F575*IFERROR(INDEX(Stocuri!$G$5:$G$204,MATCH(D575,Coduri,0)),0),2))</f>
        <v/>
      </c>
      <c r="N575" s="19" t="str">
        <f t="shared" si="45"/>
        <v/>
      </c>
    </row>
    <row r="576" spans="2:14" x14ac:dyDescent="0.2">
      <c r="B576" s="15"/>
      <c r="C576" s="6"/>
      <c r="D576" s="12"/>
      <c r="E576" s="10" t="str">
        <f t="shared" si="41"/>
        <v/>
      </c>
      <c r="F576" s="16"/>
      <c r="G576" s="13"/>
      <c r="H576" s="6"/>
      <c r="I576" s="6"/>
      <c r="J576" s="11" t="str">
        <f t="shared" si="42"/>
        <v/>
      </c>
      <c r="K576" s="17" t="str">
        <f t="shared" si="43"/>
        <v/>
      </c>
      <c r="L576" s="18" t="str">
        <f t="shared" si="44"/>
        <v/>
      </c>
      <c r="M576" s="18" t="str">
        <f>IF(J576&lt;&gt;-1,"",ROUND(F576*IFERROR(INDEX(Stocuri!$G$5:$G$204,MATCH(D576,Coduri,0)),0),2))</f>
        <v/>
      </c>
      <c r="N576" s="19" t="str">
        <f t="shared" si="45"/>
        <v/>
      </c>
    </row>
    <row r="577" spans="2:14" x14ac:dyDescent="0.2">
      <c r="B577" s="15"/>
      <c r="C577" s="6"/>
      <c r="D577" s="12"/>
      <c r="E577" s="10" t="str">
        <f t="shared" si="41"/>
        <v/>
      </c>
      <c r="F577" s="16"/>
      <c r="G577" s="13"/>
      <c r="H577" s="6"/>
      <c r="I577" s="6"/>
      <c r="J577" s="11" t="str">
        <f t="shared" si="42"/>
        <v/>
      </c>
      <c r="K577" s="17" t="str">
        <f t="shared" si="43"/>
        <v/>
      </c>
      <c r="L577" s="18" t="str">
        <f t="shared" si="44"/>
        <v/>
      </c>
      <c r="M577" s="18" t="str">
        <f>IF(J577&lt;&gt;-1,"",ROUND(F577*IFERROR(INDEX(Stocuri!$G$5:$G$204,MATCH(D577,Coduri,0)),0),2))</f>
        <v/>
      </c>
      <c r="N577" s="19" t="str">
        <f t="shared" si="45"/>
        <v/>
      </c>
    </row>
    <row r="578" spans="2:14" x14ac:dyDescent="0.2">
      <c r="B578" s="15"/>
      <c r="C578" s="6"/>
      <c r="D578" s="12"/>
      <c r="E578" s="10" t="str">
        <f t="shared" si="41"/>
        <v/>
      </c>
      <c r="F578" s="16"/>
      <c r="G578" s="13"/>
      <c r="H578" s="6"/>
      <c r="I578" s="6"/>
      <c r="J578" s="11" t="str">
        <f t="shared" si="42"/>
        <v/>
      </c>
      <c r="K578" s="17" t="str">
        <f t="shared" si="43"/>
        <v/>
      </c>
      <c r="L578" s="18" t="str">
        <f t="shared" si="44"/>
        <v/>
      </c>
      <c r="M578" s="18" t="str">
        <f>IF(J578&lt;&gt;-1,"",ROUND(F578*IFERROR(INDEX(Stocuri!$G$5:$G$204,MATCH(D578,Coduri,0)),0),2))</f>
        <v/>
      </c>
      <c r="N578" s="19" t="str">
        <f t="shared" si="45"/>
        <v/>
      </c>
    </row>
    <row r="579" spans="2:14" x14ac:dyDescent="0.2">
      <c r="B579" s="15"/>
      <c r="C579" s="6"/>
      <c r="D579" s="12"/>
      <c r="E579" s="10" t="str">
        <f t="shared" si="41"/>
        <v/>
      </c>
      <c r="F579" s="16"/>
      <c r="G579" s="13"/>
      <c r="H579" s="6"/>
      <c r="I579" s="6"/>
      <c r="J579" s="11" t="str">
        <f t="shared" si="42"/>
        <v/>
      </c>
      <c r="K579" s="17" t="str">
        <f t="shared" si="43"/>
        <v/>
      </c>
      <c r="L579" s="18" t="str">
        <f t="shared" si="44"/>
        <v/>
      </c>
      <c r="M579" s="18" t="str">
        <f>IF(J579&lt;&gt;-1,"",ROUND(F579*IFERROR(INDEX(Stocuri!$G$5:$G$204,MATCH(D579,Coduri,0)),0),2))</f>
        <v/>
      </c>
      <c r="N579" s="19" t="str">
        <f t="shared" si="45"/>
        <v/>
      </c>
    </row>
    <row r="580" spans="2:14" x14ac:dyDescent="0.2">
      <c r="B580" s="15"/>
      <c r="C580" s="6"/>
      <c r="D580" s="12"/>
      <c r="E580" s="10" t="str">
        <f t="shared" si="41"/>
        <v/>
      </c>
      <c r="F580" s="16"/>
      <c r="G580" s="13"/>
      <c r="H580" s="6"/>
      <c r="I580" s="6"/>
      <c r="J580" s="11" t="str">
        <f t="shared" si="42"/>
        <v/>
      </c>
      <c r="K580" s="17" t="str">
        <f t="shared" si="43"/>
        <v/>
      </c>
      <c r="L580" s="18" t="str">
        <f t="shared" si="44"/>
        <v/>
      </c>
      <c r="M580" s="18" t="str">
        <f>IF(J580&lt;&gt;-1,"",ROUND(F580*IFERROR(INDEX(Stocuri!$G$5:$G$204,MATCH(D580,Coduri,0)),0),2))</f>
        <v/>
      </c>
      <c r="N580" s="19" t="str">
        <f t="shared" si="45"/>
        <v/>
      </c>
    </row>
    <row r="581" spans="2:14" x14ac:dyDescent="0.2">
      <c r="B581" s="15"/>
      <c r="C581" s="6"/>
      <c r="D581" s="12"/>
      <c r="E581" s="10" t="str">
        <f t="shared" ref="E581:E644" si="46">IF(D581="","",IFERROR(VLOOKUP(D581,Catalog,2,FALSE),""))</f>
        <v/>
      </c>
      <c r="F581" s="16"/>
      <c r="G581" s="13"/>
      <c r="H581" s="6"/>
      <c r="I581" s="6"/>
      <c r="J581" s="11" t="str">
        <f t="shared" ref="J581:J644" si="47">IF(C581="","",IFERROR(VLOOKUP(C581,TipSemn,2,FALSE),""))</f>
        <v/>
      </c>
      <c r="K581" s="17" t="str">
        <f t="shared" ref="K581:K644" si="48">IF(OR(J581="",F581=""),"",J581*F581)</f>
        <v/>
      </c>
      <c r="L581" s="18" t="str">
        <f t="shared" ref="L581:L644" si="49">IF(OR(J581&lt;&gt;1,G581=""),"",ROUND(F581*G581,2))</f>
        <v/>
      </c>
      <c r="M581" s="18" t="str">
        <f>IF(J581&lt;&gt;-1,"",ROUND(F581*IFERROR(INDEX(Stocuri!$G$5:$G$204,MATCH(D581,Coduri,0)),0),2))</f>
        <v/>
      </c>
      <c r="N581" s="19" t="str">
        <f t="shared" ref="N581:N644" si="50">IF(AND(B581="",D581=""),"",TRIM(IF(OR(B581="",C581="",D581="",F581=""),"Date incomplete. ","")&amp;IF(AND(D581&lt;&gt;"",E581=""),"Cod necunoscut. ","")&amp;IF(AND(J581=1,C581&lt;&gt;"Retur de la client",C581&lt;&gt;"Ajustare inventar +",G581=""),"Lipsește prețul de intrare. ","")&amp;IF(AND(J581=-1,D581&lt;&gt;"",SUMIFS($K$5:$K$2004,$D$5:$D$2004,D581,$B$5:$B$2004,"&lt;="&amp;B581)&lt;0),"Stoc insuficient la această dată. ","")&amp;IF(AND(C581&lt;&gt;"Stoc inițial",H581=""),"Lipsește documentul. ","")))</f>
        <v/>
      </c>
    </row>
    <row r="582" spans="2:14" x14ac:dyDescent="0.2">
      <c r="B582" s="15"/>
      <c r="C582" s="6"/>
      <c r="D582" s="12"/>
      <c r="E582" s="10" t="str">
        <f t="shared" si="46"/>
        <v/>
      </c>
      <c r="F582" s="16"/>
      <c r="G582" s="13"/>
      <c r="H582" s="6"/>
      <c r="I582" s="6"/>
      <c r="J582" s="11" t="str">
        <f t="shared" si="47"/>
        <v/>
      </c>
      <c r="K582" s="17" t="str">
        <f t="shared" si="48"/>
        <v/>
      </c>
      <c r="L582" s="18" t="str">
        <f t="shared" si="49"/>
        <v/>
      </c>
      <c r="M582" s="18" t="str">
        <f>IF(J582&lt;&gt;-1,"",ROUND(F582*IFERROR(INDEX(Stocuri!$G$5:$G$204,MATCH(D582,Coduri,0)),0),2))</f>
        <v/>
      </c>
      <c r="N582" s="19" t="str">
        <f t="shared" si="50"/>
        <v/>
      </c>
    </row>
    <row r="583" spans="2:14" x14ac:dyDescent="0.2">
      <c r="B583" s="15"/>
      <c r="C583" s="6"/>
      <c r="D583" s="12"/>
      <c r="E583" s="10" t="str">
        <f t="shared" si="46"/>
        <v/>
      </c>
      <c r="F583" s="16"/>
      <c r="G583" s="13"/>
      <c r="H583" s="6"/>
      <c r="I583" s="6"/>
      <c r="J583" s="11" t="str">
        <f t="shared" si="47"/>
        <v/>
      </c>
      <c r="K583" s="17" t="str">
        <f t="shared" si="48"/>
        <v/>
      </c>
      <c r="L583" s="18" t="str">
        <f t="shared" si="49"/>
        <v/>
      </c>
      <c r="M583" s="18" t="str">
        <f>IF(J583&lt;&gt;-1,"",ROUND(F583*IFERROR(INDEX(Stocuri!$G$5:$G$204,MATCH(D583,Coduri,0)),0),2))</f>
        <v/>
      </c>
      <c r="N583" s="19" t="str">
        <f t="shared" si="50"/>
        <v/>
      </c>
    </row>
    <row r="584" spans="2:14" x14ac:dyDescent="0.2">
      <c r="B584" s="15"/>
      <c r="C584" s="6"/>
      <c r="D584" s="12"/>
      <c r="E584" s="10" t="str">
        <f t="shared" si="46"/>
        <v/>
      </c>
      <c r="F584" s="16"/>
      <c r="G584" s="13"/>
      <c r="H584" s="6"/>
      <c r="I584" s="6"/>
      <c r="J584" s="11" t="str">
        <f t="shared" si="47"/>
        <v/>
      </c>
      <c r="K584" s="17" t="str">
        <f t="shared" si="48"/>
        <v/>
      </c>
      <c r="L584" s="18" t="str">
        <f t="shared" si="49"/>
        <v/>
      </c>
      <c r="M584" s="18" t="str">
        <f>IF(J584&lt;&gt;-1,"",ROUND(F584*IFERROR(INDEX(Stocuri!$G$5:$G$204,MATCH(D584,Coduri,0)),0),2))</f>
        <v/>
      </c>
      <c r="N584" s="19" t="str">
        <f t="shared" si="50"/>
        <v/>
      </c>
    </row>
    <row r="585" spans="2:14" x14ac:dyDescent="0.2">
      <c r="B585" s="15"/>
      <c r="C585" s="6"/>
      <c r="D585" s="12"/>
      <c r="E585" s="10" t="str">
        <f t="shared" si="46"/>
        <v/>
      </c>
      <c r="F585" s="16"/>
      <c r="G585" s="13"/>
      <c r="H585" s="6"/>
      <c r="I585" s="6"/>
      <c r="J585" s="11" t="str">
        <f t="shared" si="47"/>
        <v/>
      </c>
      <c r="K585" s="17" t="str">
        <f t="shared" si="48"/>
        <v/>
      </c>
      <c r="L585" s="18" t="str">
        <f t="shared" si="49"/>
        <v/>
      </c>
      <c r="M585" s="18" t="str">
        <f>IF(J585&lt;&gt;-1,"",ROUND(F585*IFERROR(INDEX(Stocuri!$G$5:$G$204,MATCH(D585,Coduri,0)),0),2))</f>
        <v/>
      </c>
      <c r="N585" s="19" t="str">
        <f t="shared" si="50"/>
        <v/>
      </c>
    </row>
    <row r="586" spans="2:14" x14ac:dyDescent="0.2">
      <c r="B586" s="15"/>
      <c r="C586" s="6"/>
      <c r="D586" s="12"/>
      <c r="E586" s="10" t="str">
        <f t="shared" si="46"/>
        <v/>
      </c>
      <c r="F586" s="16"/>
      <c r="G586" s="13"/>
      <c r="H586" s="6"/>
      <c r="I586" s="6"/>
      <c r="J586" s="11" t="str">
        <f t="shared" si="47"/>
        <v/>
      </c>
      <c r="K586" s="17" t="str">
        <f t="shared" si="48"/>
        <v/>
      </c>
      <c r="L586" s="18" t="str">
        <f t="shared" si="49"/>
        <v/>
      </c>
      <c r="M586" s="18" t="str">
        <f>IF(J586&lt;&gt;-1,"",ROUND(F586*IFERROR(INDEX(Stocuri!$G$5:$G$204,MATCH(D586,Coduri,0)),0),2))</f>
        <v/>
      </c>
      <c r="N586" s="19" t="str">
        <f t="shared" si="50"/>
        <v/>
      </c>
    </row>
    <row r="587" spans="2:14" x14ac:dyDescent="0.2">
      <c r="B587" s="15"/>
      <c r="C587" s="6"/>
      <c r="D587" s="12"/>
      <c r="E587" s="10" t="str">
        <f t="shared" si="46"/>
        <v/>
      </c>
      <c r="F587" s="16"/>
      <c r="G587" s="13"/>
      <c r="H587" s="6"/>
      <c r="I587" s="6"/>
      <c r="J587" s="11" t="str">
        <f t="shared" si="47"/>
        <v/>
      </c>
      <c r="K587" s="17" t="str">
        <f t="shared" si="48"/>
        <v/>
      </c>
      <c r="L587" s="18" t="str">
        <f t="shared" si="49"/>
        <v/>
      </c>
      <c r="M587" s="18" t="str">
        <f>IF(J587&lt;&gt;-1,"",ROUND(F587*IFERROR(INDEX(Stocuri!$G$5:$G$204,MATCH(D587,Coduri,0)),0),2))</f>
        <v/>
      </c>
      <c r="N587" s="19" t="str">
        <f t="shared" si="50"/>
        <v/>
      </c>
    </row>
    <row r="588" spans="2:14" x14ac:dyDescent="0.2">
      <c r="B588" s="15"/>
      <c r="C588" s="6"/>
      <c r="D588" s="12"/>
      <c r="E588" s="10" t="str">
        <f t="shared" si="46"/>
        <v/>
      </c>
      <c r="F588" s="16"/>
      <c r="G588" s="13"/>
      <c r="H588" s="6"/>
      <c r="I588" s="6"/>
      <c r="J588" s="11" t="str">
        <f t="shared" si="47"/>
        <v/>
      </c>
      <c r="K588" s="17" t="str">
        <f t="shared" si="48"/>
        <v/>
      </c>
      <c r="L588" s="18" t="str">
        <f t="shared" si="49"/>
        <v/>
      </c>
      <c r="M588" s="18" t="str">
        <f>IF(J588&lt;&gt;-1,"",ROUND(F588*IFERROR(INDEX(Stocuri!$G$5:$G$204,MATCH(D588,Coduri,0)),0),2))</f>
        <v/>
      </c>
      <c r="N588" s="19" t="str">
        <f t="shared" si="50"/>
        <v/>
      </c>
    </row>
    <row r="589" spans="2:14" x14ac:dyDescent="0.2">
      <c r="B589" s="15"/>
      <c r="C589" s="6"/>
      <c r="D589" s="12"/>
      <c r="E589" s="10" t="str">
        <f t="shared" si="46"/>
        <v/>
      </c>
      <c r="F589" s="16"/>
      <c r="G589" s="13"/>
      <c r="H589" s="6"/>
      <c r="I589" s="6"/>
      <c r="J589" s="11" t="str">
        <f t="shared" si="47"/>
        <v/>
      </c>
      <c r="K589" s="17" t="str">
        <f t="shared" si="48"/>
        <v/>
      </c>
      <c r="L589" s="18" t="str">
        <f t="shared" si="49"/>
        <v/>
      </c>
      <c r="M589" s="18" t="str">
        <f>IF(J589&lt;&gt;-1,"",ROUND(F589*IFERROR(INDEX(Stocuri!$G$5:$G$204,MATCH(D589,Coduri,0)),0),2))</f>
        <v/>
      </c>
      <c r="N589" s="19" t="str">
        <f t="shared" si="50"/>
        <v/>
      </c>
    </row>
    <row r="590" spans="2:14" x14ac:dyDescent="0.2">
      <c r="B590" s="15"/>
      <c r="C590" s="6"/>
      <c r="D590" s="12"/>
      <c r="E590" s="10" t="str">
        <f t="shared" si="46"/>
        <v/>
      </c>
      <c r="F590" s="16"/>
      <c r="G590" s="13"/>
      <c r="H590" s="6"/>
      <c r="I590" s="6"/>
      <c r="J590" s="11" t="str">
        <f t="shared" si="47"/>
        <v/>
      </c>
      <c r="K590" s="17" t="str">
        <f t="shared" si="48"/>
        <v/>
      </c>
      <c r="L590" s="18" t="str">
        <f t="shared" si="49"/>
        <v/>
      </c>
      <c r="M590" s="18" t="str">
        <f>IF(J590&lt;&gt;-1,"",ROUND(F590*IFERROR(INDEX(Stocuri!$G$5:$G$204,MATCH(D590,Coduri,0)),0),2))</f>
        <v/>
      </c>
      <c r="N590" s="19" t="str">
        <f t="shared" si="50"/>
        <v/>
      </c>
    </row>
    <row r="591" spans="2:14" x14ac:dyDescent="0.2">
      <c r="B591" s="15"/>
      <c r="C591" s="6"/>
      <c r="D591" s="12"/>
      <c r="E591" s="10" t="str">
        <f t="shared" si="46"/>
        <v/>
      </c>
      <c r="F591" s="16"/>
      <c r="G591" s="13"/>
      <c r="H591" s="6"/>
      <c r="I591" s="6"/>
      <c r="J591" s="11" t="str">
        <f t="shared" si="47"/>
        <v/>
      </c>
      <c r="K591" s="17" t="str">
        <f t="shared" si="48"/>
        <v/>
      </c>
      <c r="L591" s="18" t="str">
        <f t="shared" si="49"/>
        <v/>
      </c>
      <c r="M591" s="18" t="str">
        <f>IF(J591&lt;&gt;-1,"",ROUND(F591*IFERROR(INDEX(Stocuri!$G$5:$G$204,MATCH(D591,Coduri,0)),0),2))</f>
        <v/>
      </c>
      <c r="N591" s="19" t="str">
        <f t="shared" si="50"/>
        <v/>
      </c>
    </row>
    <row r="592" spans="2:14" x14ac:dyDescent="0.2">
      <c r="B592" s="15"/>
      <c r="C592" s="6"/>
      <c r="D592" s="12"/>
      <c r="E592" s="10" t="str">
        <f t="shared" si="46"/>
        <v/>
      </c>
      <c r="F592" s="16"/>
      <c r="G592" s="13"/>
      <c r="H592" s="6"/>
      <c r="I592" s="6"/>
      <c r="J592" s="11" t="str">
        <f t="shared" si="47"/>
        <v/>
      </c>
      <c r="K592" s="17" t="str">
        <f t="shared" si="48"/>
        <v/>
      </c>
      <c r="L592" s="18" t="str">
        <f t="shared" si="49"/>
        <v/>
      </c>
      <c r="M592" s="18" t="str">
        <f>IF(J592&lt;&gt;-1,"",ROUND(F592*IFERROR(INDEX(Stocuri!$G$5:$G$204,MATCH(D592,Coduri,0)),0),2))</f>
        <v/>
      </c>
      <c r="N592" s="19" t="str">
        <f t="shared" si="50"/>
        <v/>
      </c>
    </row>
    <row r="593" spans="2:14" x14ac:dyDescent="0.2">
      <c r="B593" s="15"/>
      <c r="C593" s="6"/>
      <c r="D593" s="12"/>
      <c r="E593" s="10" t="str">
        <f t="shared" si="46"/>
        <v/>
      </c>
      <c r="F593" s="16"/>
      <c r="G593" s="13"/>
      <c r="H593" s="6"/>
      <c r="I593" s="6"/>
      <c r="J593" s="11" t="str">
        <f t="shared" si="47"/>
        <v/>
      </c>
      <c r="K593" s="17" t="str">
        <f t="shared" si="48"/>
        <v/>
      </c>
      <c r="L593" s="18" t="str">
        <f t="shared" si="49"/>
        <v/>
      </c>
      <c r="M593" s="18" t="str">
        <f>IF(J593&lt;&gt;-1,"",ROUND(F593*IFERROR(INDEX(Stocuri!$G$5:$G$204,MATCH(D593,Coduri,0)),0),2))</f>
        <v/>
      </c>
      <c r="N593" s="19" t="str">
        <f t="shared" si="50"/>
        <v/>
      </c>
    </row>
    <row r="594" spans="2:14" x14ac:dyDescent="0.2">
      <c r="B594" s="15"/>
      <c r="C594" s="6"/>
      <c r="D594" s="12"/>
      <c r="E594" s="10" t="str">
        <f t="shared" si="46"/>
        <v/>
      </c>
      <c r="F594" s="16"/>
      <c r="G594" s="13"/>
      <c r="H594" s="6"/>
      <c r="I594" s="6"/>
      <c r="J594" s="11" t="str">
        <f t="shared" si="47"/>
        <v/>
      </c>
      <c r="K594" s="17" t="str">
        <f t="shared" si="48"/>
        <v/>
      </c>
      <c r="L594" s="18" t="str">
        <f t="shared" si="49"/>
        <v/>
      </c>
      <c r="M594" s="18" t="str">
        <f>IF(J594&lt;&gt;-1,"",ROUND(F594*IFERROR(INDEX(Stocuri!$G$5:$G$204,MATCH(D594,Coduri,0)),0),2))</f>
        <v/>
      </c>
      <c r="N594" s="19" t="str">
        <f t="shared" si="50"/>
        <v/>
      </c>
    </row>
    <row r="595" spans="2:14" x14ac:dyDescent="0.2">
      <c r="B595" s="15"/>
      <c r="C595" s="6"/>
      <c r="D595" s="12"/>
      <c r="E595" s="10" t="str">
        <f t="shared" si="46"/>
        <v/>
      </c>
      <c r="F595" s="16"/>
      <c r="G595" s="13"/>
      <c r="H595" s="6"/>
      <c r="I595" s="6"/>
      <c r="J595" s="11" t="str">
        <f t="shared" si="47"/>
        <v/>
      </c>
      <c r="K595" s="17" t="str">
        <f t="shared" si="48"/>
        <v/>
      </c>
      <c r="L595" s="18" t="str">
        <f t="shared" si="49"/>
        <v/>
      </c>
      <c r="M595" s="18" t="str">
        <f>IF(J595&lt;&gt;-1,"",ROUND(F595*IFERROR(INDEX(Stocuri!$G$5:$G$204,MATCH(D595,Coduri,0)),0),2))</f>
        <v/>
      </c>
      <c r="N595" s="19" t="str">
        <f t="shared" si="50"/>
        <v/>
      </c>
    </row>
    <row r="596" spans="2:14" x14ac:dyDescent="0.2">
      <c r="B596" s="15"/>
      <c r="C596" s="6"/>
      <c r="D596" s="12"/>
      <c r="E596" s="10" t="str">
        <f t="shared" si="46"/>
        <v/>
      </c>
      <c r="F596" s="16"/>
      <c r="G596" s="13"/>
      <c r="H596" s="6"/>
      <c r="I596" s="6"/>
      <c r="J596" s="11" t="str">
        <f t="shared" si="47"/>
        <v/>
      </c>
      <c r="K596" s="17" t="str">
        <f t="shared" si="48"/>
        <v/>
      </c>
      <c r="L596" s="18" t="str">
        <f t="shared" si="49"/>
        <v/>
      </c>
      <c r="M596" s="18" t="str">
        <f>IF(J596&lt;&gt;-1,"",ROUND(F596*IFERROR(INDEX(Stocuri!$G$5:$G$204,MATCH(D596,Coduri,0)),0),2))</f>
        <v/>
      </c>
      <c r="N596" s="19" t="str">
        <f t="shared" si="50"/>
        <v/>
      </c>
    </row>
    <row r="597" spans="2:14" x14ac:dyDescent="0.2">
      <c r="B597" s="15"/>
      <c r="C597" s="6"/>
      <c r="D597" s="12"/>
      <c r="E597" s="10" t="str">
        <f t="shared" si="46"/>
        <v/>
      </c>
      <c r="F597" s="16"/>
      <c r="G597" s="13"/>
      <c r="H597" s="6"/>
      <c r="I597" s="6"/>
      <c r="J597" s="11" t="str">
        <f t="shared" si="47"/>
        <v/>
      </c>
      <c r="K597" s="17" t="str">
        <f t="shared" si="48"/>
        <v/>
      </c>
      <c r="L597" s="18" t="str">
        <f t="shared" si="49"/>
        <v/>
      </c>
      <c r="M597" s="18" t="str">
        <f>IF(J597&lt;&gt;-1,"",ROUND(F597*IFERROR(INDEX(Stocuri!$G$5:$G$204,MATCH(D597,Coduri,0)),0),2))</f>
        <v/>
      </c>
      <c r="N597" s="19" t="str">
        <f t="shared" si="50"/>
        <v/>
      </c>
    </row>
    <row r="598" spans="2:14" x14ac:dyDescent="0.2">
      <c r="B598" s="15"/>
      <c r="C598" s="6"/>
      <c r="D598" s="12"/>
      <c r="E598" s="10" t="str">
        <f t="shared" si="46"/>
        <v/>
      </c>
      <c r="F598" s="16"/>
      <c r="G598" s="13"/>
      <c r="H598" s="6"/>
      <c r="I598" s="6"/>
      <c r="J598" s="11" t="str">
        <f t="shared" si="47"/>
        <v/>
      </c>
      <c r="K598" s="17" t="str">
        <f t="shared" si="48"/>
        <v/>
      </c>
      <c r="L598" s="18" t="str">
        <f t="shared" si="49"/>
        <v/>
      </c>
      <c r="M598" s="18" t="str">
        <f>IF(J598&lt;&gt;-1,"",ROUND(F598*IFERROR(INDEX(Stocuri!$G$5:$G$204,MATCH(D598,Coduri,0)),0),2))</f>
        <v/>
      </c>
      <c r="N598" s="19" t="str">
        <f t="shared" si="50"/>
        <v/>
      </c>
    </row>
    <row r="599" spans="2:14" x14ac:dyDescent="0.2">
      <c r="B599" s="15"/>
      <c r="C599" s="6"/>
      <c r="D599" s="12"/>
      <c r="E599" s="10" t="str">
        <f t="shared" si="46"/>
        <v/>
      </c>
      <c r="F599" s="16"/>
      <c r="G599" s="13"/>
      <c r="H599" s="6"/>
      <c r="I599" s="6"/>
      <c r="J599" s="11" t="str">
        <f t="shared" si="47"/>
        <v/>
      </c>
      <c r="K599" s="17" t="str">
        <f t="shared" si="48"/>
        <v/>
      </c>
      <c r="L599" s="18" t="str">
        <f t="shared" si="49"/>
        <v/>
      </c>
      <c r="M599" s="18" t="str">
        <f>IF(J599&lt;&gt;-1,"",ROUND(F599*IFERROR(INDEX(Stocuri!$G$5:$G$204,MATCH(D599,Coduri,0)),0),2))</f>
        <v/>
      </c>
      <c r="N599" s="19" t="str">
        <f t="shared" si="50"/>
        <v/>
      </c>
    </row>
    <row r="600" spans="2:14" x14ac:dyDescent="0.2">
      <c r="B600" s="15"/>
      <c r="C600" s="6"/>
      <c r="D600" s="12"/>
      <c r="E600" s="10" t="str">
        <f t="shared" si="46"/>
        <v/>
      </c>
      <c r="F600" s="16"/>
      <c r="G600" s="13"/>
      <c r="H600" s="6"/>
      <c r="I600" s="6"/>
      <c r="J600" s="11" t="str">
        <f t="shared" si="47"/>
        <v/>
      </c>
      <c r="K600" s="17" t="str">
        <f t="shared" si="48"/>
        <v/>
      </c>
      <c r="L600" s="18" t="str">
        <f t="shared" si="49"/>
        <v/>
      </c>
      <c r="M600" s="18" t="str">
        <f>IF(J600&lt;&gt;-1,"",ROUND(F600*IFERROR(INDEX(Stocuri!$G$5:$G$204,MATCH(D600,Coduri,0)),0),2))</f>
        <v/>
      </c>
      <c r="N600" s="19" t="str">
        <f t="shared" si="50"/>
        <v/>
      </c>
    </row>
    <row r="601" spans="2:14" x14ac:dyDescent="0.2">
      <c r="B601" s="15"/>
      <c r="C601" s="6"/>
      <c r="D601" s="12"/>
      <c r="E601" s="10" t="str">
        <f t="shared" si="46"/>
        <v/>
      </c>
      <c r="F601" s="16"/>
      <c r="G601" s="13"/>
      <c r="H601" s="6"/>
      <c r="I601" s="6"/>
      <c r="J601" s="11" t="str">
        <f t="shared" si="47"/>
        <v/>
      </c>
      <c r="K601" s="17" t="str">
        <f t="shared" si="48"/>
        <v/>
      </c>
      <c r="L601" s="18" t="str">
        <f t="shared" si="49"/>
        <v/>
      </c>
      <c r="M601" s="18" t="str">
        <f>IF(J601&lt;&gt;-1,"",ROUND(F601*IFERROR(INDEX(Stocuri!$G$5:$G$204,MATCH(D601,Coduri,0)),0),2))</f>
        <v/>
      </c>
      <c r="N601" s="19" t="str">
        <f t="shared" si="50"/>
        <v/>
      </c>
    </row>
    <row r="602" spans="2:14" x14ac:dyDescent="0.2">
      <c r="B602" s="15"/>
      <c r="C602" s="6"/>
      <c r="D602" s="12"/>
      <c r="E602" s="10" t="str">
        <f t="shared" si="46"/>
        <v/>
      </c>
      <c r="F602" s="16"/>
      <c r="G602" s="13"/>
      <c r="H602" s="6"/>
      <c r="I602" s="6"/>
      <c r="J602" s="11" t="str">
        <f t="shared" si="47"/>
        <v/>
      </c>
      <c r="K602" s="17" t="str">
        <f t="shared" si="48"/>
        <v/>
      </c>
      <c r="L602" s="18" t="str">
        <f t="shared" si="49"/>
        <v/>
      </c>
      <c r="M602" s="18" t="str">
        <f>IF(J602&lt;&gt;-1,"",ROUND(F602*IFERROR(INDEX(Stocuri!$G$5:$G$204,MATCH(D602,Coduri,0)),0),2))</f>
        <v/>
      </c>
      <c r="N602" s="19" t="str">
        <f t="shared" si="50"/>
        <v/>
      </c>
    </row>
    <row r="603" spans="2:14" x14ac:dyDescent="0.2">
      <c r="B603" s="15"/>
      <c r="C603" s="6"/>
      <c r="D603" s="12"/>
      <c r="E603" s="10" t="str">
        <f t="shared" si="46"/>
        <v/>
      </c>
      <c r="F603" s="16"/>
      <c r="G603" s="13"/>
      <c r="H603" s="6"/>
      <c r="I603" s="6"/>
      <c r="J603" s="11" t="str">
        <f t="shared" si="47"/>
        <v/>
      </c>
      <c r="K603" s="17" t="str">
        <f t="shared" si="48"/>
        <v/>
      </c>
      <c r="L603" s="18" t="str">
        <f t="shared" si="49"/>
        <v/>
      </c>
      <c r="M603" s="18" t="str">
        <f>IF(J603&lt;&gt;-1,"",ROUND(F603*IFERROR(INDEX(Stocuri!$G$5:$G$204,MATCH(D603,Coduri,0)),0),2))</f>
        <v/>
      </c>
      <c r="N603" s="19" t="str">
        <f t="shared" si="50"/>
        <v/>
      </c>
    </row>
    <row r="604" spans="2:14" x14ac:dyDescent="0.2">
      <c r="B604" s="15"/>
      <c r="C604" s="6"/>
      <c r="D604" s="12"/>
      <c r="E604" s="10" t="str">
        <f t="shared" si="46"/>
        <v/>
      </c>
      <c r="F604" s="16"/>
      <c r="G604" s="13"/>
      <c r="H604" s="6"/>
      <c r="I604" s="6"/>
      <c r="J604" s="11" t="str">
        <f t="shared" si="47"/>
        <v/>
      </c>
      <c r="K604" s="17" t="str">
        <f t="shared" si="48"/>
        <v/>
      </c>
      <c r="L604" s="18" t="str">
        <f t="shared" si="49"/>
        <v/>
      </c>
      <c r="M604" s="18" t="str">
        <f>IF(J604&lt;&gt;-1,"",ROUND(F604*IFERROR(INDEX(Stocuri!$G$5:$G$204,MATCH(D604,Coduri,0)),0),2))</f>
        <v/>
      </c>
      <c r="N604" s="19" t="str">
        <f t="shared" si="50"/>
        <v/>
      </c>
    </row>
    <row r="605" spans="2:14" x14ac:dyDescent="0.2">
      <c r="B605" s="15"/>
      <c r="C605" s="6"/>
      <c r="D605" s="12"/>
      <c r="E605" s="10" t="str">
        <f t="shared" si="46"/>
        <v/>
      </c>
      <c r="F605" s="16"/>
      <c r="G605" s="13"/>
      <c r="H605" s="6"/>
      <c r="I605" s="6"/>
      <c r="J605" s="11" t="str">
        <f t="shared" si="47"/>
        <v/>
      </c>
      <c r="K605" s="17" t="str">
        <f t="shared" si="48"/>
        <v/>
      </c>
      <c r="L605" s="18" t="str">
        <f t="shared" si="49"/>
        <v/>
      </c>
      <c r="M605" s="18" t="str">
        <f>IF(J605&lt;&gt;-1,"",ROUND(F605*IFERROR(INDEX(Stocuri!$G$5:$G$204,MATCH(D605,Coduri,0)),0),2))</f>
        <v/>
      </c>
      <c r="N605" s="19" t="str">
        <f t="shared" si="50"/>
        <v/>
      </c>
    </row>
    <row r="606" spans="2:14" x14ac:dyDescent="0.2">
      <c r="B606" s="15"/>
      <c r="C606" s="6"/>
      <c r="D606" s="12"/>
      <c r="E606" s="10" t="str">
        <f t="shared" si="46"/>
        <v/>
      </c>
      <c r="F606" s="16"/>
      <c r="G606" s="13"/>
      <c r="H606" s="6"/>
      <c r="I606" s="6"/>
      <c r="J606" s="11" t="str">
        <f t="shared" si="47"/>
        <v/>
      </c>
      <c r="K606" s="17" t="str">
        <f t="shared" si="48"/>
        <v/>
      </c>
      <c r="L606" s="18" t="str">
        <f t="shared" si="49"/>
        <v/>
      </c>
      <c r="M606" s="18" t="str">
        <f>IF(J606&lt;&gt;-1,"",ROUND(F606*IFERROR(INDEX(Stocuri!$G$5:$G$204,MATCH(D606,Coduri,0)),0),2))</f>
        <v/>
      </c>
      <c r="N606" s="19" t="str">
        <f t="shared" si="50"/>
        <v/>
      </c>
    </row>
    <row r="607" spans="2:14" x14ac:dyDescent="0.2">
      <c r="B607" s="15"/>
      <c r="C607" s="6"/>
      <c r="D607" s="12"/>
      <c r="E607" s="10" t="str">
        <f t="shared" si="46"/>
        <v/>
      </c>
      <c r="F607" s="16"/>
      <c r="G607" s="13"/>
      <c r="H607" s="6"/>
      <c r="I607" s="6"/>
      <c r="J607" s="11" t="str">
        <f t="shared" si="47"/>
        <v/>
      </c>
      <c r="K607" s="17" t="str">
        <f t="shared" si="48"/>
        <v/>
      </c>
      <c r="L607" s="18" t="str">
        <f t="shared" si="49"/>
        <v/>
      </c>
      <c r="M607" s="18" t="str">
        <f>IF(J607&lt;&gt;-1,"",ROUND(F607*IFERROR(INDEX(Stocuri!$G$5:$G$204,MATCH(D607,Coduri,0)),0),2))</f>
        <v/>
      </c>
      <c r="N607" s="19" t="str">
        <f t="shared" si="50"/>
        <v/>
      </c>
    </row>
    <row r="608" spans="2:14" x14ac:dyDescent="0.2">
      <c r="B608" s="15"/>
      <c r="C608" s="6"/>
      <c r="D608" s="12"/>
      <c r="E608" s="10" t="str">
        <f t="shared" si="46"/>
        <v/>
      </c>
      <c r="F608" s="16"/>
      <c r="G608" s="13"/>
      <c r="H608" s="6"/>
      <c r="I608" s="6"/>
      <c r="J608" s="11" t="str">
        <f t="shared" si="47"/>
        <v/>
      </c>
      <c r="K608" s="17" t="str">
        <f t="shared" si="48"/>
        <v/>
      </c>
      <c r="L608" s="18" t="str">
        <f t="shared" si="49"/>
        <v/>
      </c>
      <c r="M608" s="18" t="str">
        <f>IF(J608&lt;&gt;-1,"",ROUND(F608*IFERROR(INDEX(Stocuri!$G$5:$G$204,MATCH(D608,Coduri,0)),0),2))</f>
        <v/>
      </c>
      <c r="N608" s="19" t="str">
        <f t="shared" si="50"/>
        <v/>
      </c>
    </row>
    <row r="609" spans="2:14" x14ac:dyDescent="0.2">
      <c r="B609" s="15"/>
      <c r="C609" s="6"/>
      <c r="D609" s="12"/>
      <c r="E609" s="10" t="str">
        <f t="shared" si="46"/>
        <v/>
      </c>
      <c r="F609" s="16"/>
      <c r="G609" s="13"/>
      <c r="H609" s="6"/>
      <c r="I609" s="6"/>
      <c r="J609" s="11" t="str">
        <f t="shared" si="47"/>
        <v/>
      </c>
      <c r="K609" s="17" t="str">
        <f t="shared" si="48"/>
        <v/>
      </c>
      <c r="L609" s="18" t="str">
        <f t="shared" si="49"/>
        <v/>
      </c>
      <c r="M609" s="18" t="str">
        <f>IF(J609&lt;&gt;-1,"",ROUND(F609*IFERROR(INDEX(Stocuri!$G$5:$G$204,MATCH(D609,Coduri,0)),0),2))</f>
        <v/>
      </c>
      <c r="N609" s="19" t="str">
        <f t="shared" si="50"/>
        <v/>
      </c>
    </row>
    <row r="610" spans="2:14" x14ac:dyDescent="0.2">
      <c r="B610" s="15"/>
      <c r="C610" s="6"/>
      <c r="D610" s="12"/>
      <c r="E610" s="10" t="str">
        <f t="shared" si="46"/>
        <v/>
      </c>
      <c r="F610" s="16"/>
      <c r="G610" s="13"/>
      <c r="H610" s="6"/>
      <c r="I610" s="6"/>
      <c r="J610" s="11" t="str">
        <f t="shared" si="47"/>
        <v/>
      </c>
      <c r="K610" s="17" t="str">
        <f t="shared" si="48"/>
        <v/>
      </c>
      <c r="L610" s="18" t="str">
        <f t="shared" si="49"/>
        <v/>
      </c>
      <c r="M610" s="18" t="str">
        <f>IF(J610&lt;&gt;-1,"",ROUND(F610*IFERROR(INDEX(Stocuri!$G$5:$G$204,MATCH(D610,Coduri,0)),0),2))</f>
        <v/>
      </c>
      <c r="N610" s="19" t="str">
        <f t="shared" si="50"/>
        <v/>
      </c>
    </row>
    <row r="611" spans="2:14" x14ac:dyDescent="0.2">
      <c r="B611" s="15"/>
      <c r="C611" s="6"/>
      <c r="D611" s="12"/>
      <c r="E611" s="10" t="str">
        <f t="shared" si="46"/>
        <v/>
      </c>
      <c r="F611" s="16"/>
      <c r="G611" s="13"/>
      <c r="H611" s="6"/>
      <c r="I611" s="6"/>
      <c r="J611" s="11" t="str">
        <f t="shared" si="47"/>
        <v/>
      </c>
      <c r="K611" s="17" t="str">
        <f t="shared" si="48"/>
        <v/>
      </c>
      <c r="L611" s="18" t="str">
        <f t="shared" si="49"/>
        <v/>
      </c>
      <c r="M611" s="18" t="str">
        <f>IF(J611&lt;&gt;-1,"",ROUND(F611*IFERROR(INDEX(Stocuri!$G$5:$G$204,MATCH(D611,Coduri,0)),0),2))</f>
        <v/>
      </c>
      <c r="N611" s="19" t="str">
        <f t="shared" si="50"/>
        <v/>
      </c>
    </row>
    <row r="612" spans="2:14" x14ac:dyDescent="0.2">
      <c r="B612" s="15"/>
      <c r="C612" s="6"/>
      <c r="D612" s="12"/>
      <c r="E612" s="10" t="str">
        <f t="shared" si="46"/>
        <v/>
      </c>
      <c r="F612" s="16"/>
      <c r="G612" s="13"/>
      <c r="H612" s="6"/>
      <c r="I612" s="6"/>
      <c r="J612" s="11" t="str">
        <f t="shared" si="47"/>
        <v/>
      </c>
      <c r="K612" s="17" t="str">
        <f t="shared" si="48"/>
        <v/>
      </c>
      <c r="L612" s="18" t="str">
        <f t="shared" si="49"/>
        <v/>
      </c>
      <c r="M612" s="18" t="str">
        <f>IF(J612&lt;&gt;-1,"",ROUND(F612*IFERROR(INDEX(Stocuri!$G$5:$G$204,MATCH(D612,Coduri,0)),0),2))</f>
        <v/>
      </c>
      <c r="N612" s="19" t="str">
        <f t="shared" si="50"/>
        <v/>
      </c>
    </row>
    <row r="613" spans="2:14" x14ac:dyDescent="0.2">
      <c r="B613" s="15"/>
      <c r="C613" s="6"/>
      <c r="D613" s="12"/>
      <c r="E613" s="10" t="str">
        <f t="shared" si="46"/>
        <v/>
      </c>
      <c r="F613" s="16"/>
      <c r="G613" s="13"/>
      <c r="H613" s="6"/>
      <c r="I613" s="6"/>
      <c r="J613" s="11" t="str">
        <f t="shared" si="47"/>
        <v/>
      </c>
      <c r="K613" s="17" t="str">
        <f t="shared" si="48"/>
        <v/>
      </c>
      <c r="L613" s="18" t="str">
        <f t="shared" si="49"/>
        <v/>
      </c>
      <c r="M613" s="18" t="str">
        <f>IF(J613&lt;&gt;-1,"",ROUND(F613*IFERROR(INDEX(Stocuri!$G$5:$G$204,MATCH(D613,Coduri,0)),0),2))</f>
        <v/>
      </c>
      <c r="N613" s="19" t="str">
        <f t="shared" si="50"/>
        <v/>
      </c>
    </row>
    <row r="614" spans="2:14" x14ac:dyDescent="0.2">
      <c r="B614" s="15"/>
      <c r="C614" s="6"/>
      <c r="D614" s="12"/>
      <c r="E614" s="10" t="str">
        <f t="shared" si="46"/>
        <v/>
      </c>
      <c r="F614" s="16"/>
      <c r="G614" s="13"/>
      <c r="H614" s="6"/>
      <c r="I614" s="6"/>
      <c r="J614" s="11" t="str">
        <f t="shared" si="47"/>
        <v/>
      </c>
      <c r="K614" s="17" t="str">
        <f t="shared" si="48"/>
        <v/>
      </c>
      <c r="L614" s="18" t="str">
        <f t="shared" si="49"/>
        <v/>
      </c>
      <c r="M614" s="18" t="str">
        <f>IF(J614&lt;&gt;-1,"",ROUND(F614*IFERROR(INDEX(Stocuri!$G$5:$G$204,MATCH(D614,Coduri,0)),0),2))</f>
        <v/>
      </c>
      <c r="N614" s="19" t="str">
        <f t="shared" si="50"/>
        <v/>
      </c>
    </row>
    <row r="615" spans="2:14" x14ac:dyDescent="0.2">
      <c r="B615" s="15"/>
      <c r="C615" s="6"/>
      <c r="D615" s="12"/>
      <c r="E615" s="10" t="str">
        <f t="shared" si="46"/>
        <v/>
      </c>
      <c r="F615" s="16"/>
      <c r="G615" s="13"/>
      <c r="H615" s="6"/>
      <c r="I615" s="6"/>
      <c r="J615" s="11" t="str">
        <f t="shared" si="47"/>
        <v/>
      </c>
      <c r="K615" s="17" t="str">
        <f t="shared" si="48"/>
        <v/>
      </c>
      <c r="L615" s="18" t="str">
        <f t="shared" si="49"/>
        <v/>
      </c>
      <c r="M615" s="18" t="str">
        <f>IF(J615&lt;&gt;-1,"",ROUND(F615*IFERROR(INDEX(Stocuri!$G$5:$G$204,MATCH(D615,Coduri,0)),0),2))</f>
        <v/>
      </c>
      <c r="N615" s="19" t="str">
        <f t="shared" si="50"/>
        <v/>
      </c>
    </row>
    <row r="616" spans="2:14" x14ac:dyDescent="0.2">
      <c r="B616" s="15"/>
      <c r="C616" s="6"/>
      <c r="D616" s="12"/>
      <c r="E616" s="10" t="str">
        <f t="shared" si="46"/>
        <v/>
      </c>
      <c r="F616" s="16"/>
      <c r="G616" s="13"/>
      <c r="H616" s="6"/>
      <c r="I616" s="6"/>
      <c r="J616" s="11" t="str">
        <f t="shared" si="47"/>
        <v/>
      </c>
      <c r="K616" s="17" t="str">
        <f t="shared" si="48"/>
        <v/>
      </c>
      <c r="L616" s="18" t="str">
        <f t="shared" si="49"/>
        <v/>
      </c>
      <c r="M616" s="18" t="str">
        <f>IF(J616&lt;&gt;-1,"",ROUND(F616*IFERROR(INDEX(Stocuri!$G$5:$G$204,MATCH(D616,Coduri,0)),0),2))</f>
        <v/>
      </c>
      <c r="N616" s="19" t="str">
        <f t="shared" si="50"/>
        <v/>
      </c>
    </row>
    <row r="617" spans="2:14" x14ac:dyDescent="0.2">
      <c r="B617" s="15"/>
      <c r="C617" s="6"/>
      <c r="D617" s="12"/>
      <c r="E617" s="10" t="str">
        <f t="shared" si="46"/>
        <v/>
      </c>
      <c r="F617" s="16"/>
      <c r="G617" s="13"/>
      <c r="H617" s="6"/>
      <c r="I617" s="6"/>
      <c r="J617" s="11" t="str">
        <f t="shared" si="47"/>
        <v/>
      </c>
      <c r="K617" s="17" t="str">
        <f t="shared" si="48"/>
        <v/>
      </c>
      <c r="L617" s="18" t="str">
        <f t="shared" si="49"/>
        <v/>
      </c>
      <c r="M617" s="18" t="str">
        <f>IF(J617&lt;&gt;-1,"",ROUND(F617*IFERROR(INDEX(Stocuri!$G$5:$G$204,MATCH(D617,Coduri,0)),0),2))</f>
        <v/>
      </c>
      <c r="N617" s="19" t="str">
        <f t="shared" si="50"/>
        <v/>
      </c>
    </row>
    <row r="618" spans="2:14" x14ac:dyDescent="0.2">
      <c r="B618" s="15"/>
      <c r="C618" s="6"/>
      <c r="D618" s="12"/>
      <c r="E618" s="10" t="str">
        <f t="shared" si="46"/>
        <v/>
      </c>
      <c r="F618" s="16"/>
      <c r="G618" s="13"/>
      <c r="H618" s="6"/>
      <c r="I618" s="6"/>
      <c r="J618" s="11" t="str">
        <f t="shared" si="47"/>
        <v/>
      </c>
      <c r="K618" s="17" t="str">
        <f t="shared" si="48"/>
        <v/>
      </c>
      <c r="L618" s="18" t="str">
        <f t="shared" si="49"/>
        <v/>
      </c>
      <c r="M618" s="18" t="str">
        <f>IF(J618&lt;&gt;-1,"",ROUND(F618*IFERROR(INDEX(Stocuri!$G$5:$G$204,MATCH(D618,Coduri,0)),0),2))</f>
        <v/>
      </c>
      <c r="N618" s="19" t="str">
        <f t="shared" si="50"/>
        <v/>
      </c>
    </row>
    <row r="619" spans="2:14" x14ac:dyDescent="0.2">
      <c r="B619" s="15"/>
      <c r="C619" s="6"/>
      <c r="D619" s="12"/>
      <c r="E619" s="10" t="str">
        <f t="shared" si="46"/>
        <v/>
      </c>
      <c r="F619" s="16"/>
      <c r="G619" s="13"/>
      <c r="H619" s="6"/>
      <c r="I619" s="6"/>
      <c r="J619" s="11" t="str">
        <f t="shared" si="47"/>
        <v/>
      </c>
      <c r="K619" s="17" t="str">
        <f t="shared" si="48"/>
        <v/>
      </c>
      <c r="L619" s="18" t="str">
        <f t="shared" si="49"/>
        <v/>
      </c>
      <c r="M619" s="18" t="str">
        <f>IF(J619&lt;&gt;-1,"",ROUND(F619*IFERROR(INDEX(Stocuri!$G$5:$G$204,MATCH(D619,Coduri,0)),0),2))</f>
        <v/>
      </c>
      <c r="N619" s="19" t="str">
        <f t="shared" si="50"/>
        <v/>
      </c>
    </row>
    <row r="620" spans="2:14" x14ac:dyDescent="0.2">
      <c r="B620" s="15"/>
      <c r="C620" s="6"/>
      <c r="D620" s="12"/>
      <c r="E620" s="10" t="str">
        <f t="shared" si="46"/>
        <v/>
      </c>
      <c r="F620" s="16"/>
      <c r="G620" s="13"/>
      <c r="H620" s="6"/>
      <c r="I620" s="6"/>
      <c r="J620" s="11" t="str">
        <f t="shared" si="47"/>
        <v/>
      </c>
      <c r="K620" s="17" t="str">
        <f t="shared" si="48"/>
        <v/>
      </c>
      <c r="L620" s="18" t="str">
        <f t="shared" si="49"/>
        <v/>
      </c>
      <c r="M620" s="18" t="str">
        <f>IF(J620&lt;&gt;-1,"",ROUND(F620*IFERROR(INDEX(Stocuri!$G$5:$G$204,MATCH(D620,Coduri,0)),0),2))</f>
        <v/>
      </c>
      <c r="N620" s="19" t="str">
        <f t="shared" si="50"/>
        <v/>
      </c>
    </row>
    <row r="621" spans="2:14" x14ac:dyDescent="0.2">
      <c r="B621" s="15"/>
      <c r="C621" s="6"/>
      <c r="D621" s="12"/>
      <c r="E621" s="10" t="str">
        <f t="shared" si="46"/>
        <v/>
      </c>
      <c r="F621" s="16"/>
      <c r="G621" s="13"/>
      <c r="H621" s="6"/>
      <c r="I621" s="6"/>
      <c r="J621" s="11" t="str">
        <f t="shared" si="47"/>
        <v/>
      </c>
      <c r="K621" s="17" t="str">
        <f t="shared" si="48"/>
        <v/>
      </c>
      <c r="L621" s="18" t="str">
        <f t="shared" si="49"/>
        <v/>
      </c>
      <c r="M621" s="18" t="str">
        <f>IF(J621&lt;&gt;-1,"",ROUND(F621*IFERROR(INDEX(Stocuri!$G$5:$G$204,MATCH(D621,Coduri,0)),0),2))</f>
        <v/>
      </c>
      <c r="N621" s="19" t="str">
        <f t="shared" si="50"/>
        <v/>
      </c>
    </row>
    <row r="622" spans="2:14" x14ac:dyDescent="0.2">
      <c r="B622" s="15"/>
      <c r="C622" s="6"/>
      <c r="D622" s="12"/>
      <c r="E622" s="10" t="str">
        <f t="shared" si="46"/>
        <v/>
      </c>
      <c r="F622" s="16"/>
      <c r="G622" s="13"/>
      <c r="H622" s="6"/>
      <c r="I622" s="6"/>
      <c r="J622" s="11" t="str">
        <f t="shared" si="47"/>
        <v/>
      </c>
      <c r="K622" s="17" t="str">
        <f t="shared" si="48"/>
        <v/>
      </c>
      <c r="L622" s="18" t="str">
        <f t="shared" si="49"/>
        <v/>
      </c>
      <c r="M622" s="18" t="str">
        <f>IF(J622&lt;&gt;-1,"",ROUND(F622*IFERROR(INDEX(Stocuri!$G$5:$G$204,MATCH(D622,Coduri,0)),0),2))</f>
        <v/>
      </c>
      <c r="N622" s="19" t="str">
        <f t="shared" si="50"/>
        <v/>
      </c>
    </row>
    <row r="623" spans="2:14" x14ac:dyDescent="0.2">
      <c r="B623" s="15"/>
      <c r="C623" s="6"/>
      <c r="D623" s="12"/>
      <c r="E623" s="10" t="str">
        <f t="shared" si="46"/>
        <v/>
      </c>
      <c r="F623" s="16"/>
      <c r="G623" s="13"/>
      <c r="H623" s="6"/>
      <c r="I623" s="6"/>
      <c r="J623" s="11" t="str">
        <f t="shared" si="47"/>
        <v/>
      </c>
      <c r="K623" s="17" t="str">
        <f t="shared" si="48"/>
        <v/>
      </c>
      <c r="L623" s="18" t="str">
        <f t="shared" si="49"/>
        <v/>
      </c>
      <c r="M623" s="18" t="str">
        <f>IF(J623&lt;&gt;-1,"",ROUND(F623*IFERROR(INDEX(Stocuri!$G$5:$G$204,MATCH(D623,Coduri,0)),0),2))</f>
        <v/>
      </c>
      <c r="N623" s="19" t="str">
        <f t="shared" si="50"/>
        <v/>
      </c>
    </row>
    <row r="624" spans="2:14" x14ac:dyDescent="0.2">
      <c r="B624" s="15"/>
      <c r="C624" s="6"/>
      <c r="D624" s="12"/>
      <c r="E624" s="10" t="str">
        <f t="shared" si="46"/>
        <v/>
      </c>
      <c r="F624" s="16"/>
      <c r="G624" s="13"/>
      <c r="H624" s="6"/>
      <c r="I624" s="6"/>
      <c r="J624" s="11" t="str">
        <f t="shared" si="47"/>
        <v/>
      </c>
      <c r="K624" s="17" t="str">
        <f t="shared" si="48"/>
        <v/>
      </c>
      <c r="L624" s="18" t="str">
        <f t="shared" si="49"/>
        <v/>
      </c>
      <c r="M624" s="18" t="str">
        <f>IF(J624&lt;&gt;-1,"",ROUND(F624*IFERROR(INDEX(Stocuri!$G$5:$G$204,MATCH(D624,Coduri,0)),0),2))</f>
        <v/>
      </c>
      <c r="N624" s="19" t="str">
        <f t="shared" si="50"/>
        <v/>
      </c>
    </row>
    <row r="625" spans="2:14" x14ac:dyDescent="0.2">
      <c r="B625" s="15"/>
      <c r="C625" s="6"/>
      <c r="D625" s="12"/>
      <c r="E625" s="10" t="str">
        <f t="shared" si="46"/>
        <v/>
      </c>
      <c r="F625" s="16"/>
      <c r="G625" s="13"/>
      <c r="H625" s="6"/>
      <c r="I625" s="6"/>
      <c r="J625" s="11" t="str">
        <f t="shared" si="47"/>
        <v/>
      </c>
      <c r="K625" s="17" t="str">
        <f t="shared" si="48"/>
        <v/>
      </c>
      <c r="L625" s="18" t="str">
        <f t="shared" si="49"/>
        <v/>
      </c>
      <c r="M625" s="18" t="str">
        <f>IF(J625&lt;&gt;-1,"",ROUND(F625*IFERROR(INDEX(Stocuri!$G$5:$G$204,MATCH(D625,Coduri,0)),0),2))</f>
        <v/>
      </c>
      <c r="N625" s="19" t="str">
        <f t="shared" si="50"/>
        <v/>
      </c>
    </row>
    <row r="626" spans="2:14" x14ac:dyDescent="0.2">
      <c r="B626" s="15"/>
      <c r="C626" s="6"/>
      <c r="D626" s="12"/>
      <c r="E626" s="10" t="str">
        <f t="shared" si="46"/>
        <v/>
      </c>
      <c r="F626" s="16"/>
      <c r="G626" s="13"/>
      <c r="H626" s="6"/>
      <c r="I626" s="6"/>
      <c r="J626" s="11" t="str">
        <f t="shared" si="47"/>
        <v/>
      </c>
      <c r="K626" s="17" t="str">
        <f t="shared" si="48"/>
        <v/>
      </c>
      <c r="L626" s="18" t="str">
        <f t="shared" si="49"/>
        <v/>
      </c>
      <c r="M626" s="18" t="str">
        <f>IF(J626&lt;&gt;-1,"",ROUND(F626*IFERROR(INDEX(Stocuri!$G$5:$G$204,MATCH(D626,Coduri,0)),0),2))</f>
        <v/>
      </c>
      <c r="N626" s="19" t="str">
        <f t="shared" si="50"/>
        <v/>
      </c>
    </row>
    <row r="627" spans="2:14" x14ac:dyDescent="0.2">
      <c r="B627" s="15"/>
      <c r="C627" s="6"/>
      <c r="D627" s="12"/>
      <c r="E627" s="10" t="str">
        <f t="shared" si="46"/>
        <v/>
      </c>
      <c r="F627" s="16"/>
      <c r="G627" s="13"/>
      <c r="H627" s="6"/>
      <c r="I627" s="6"/>
      <c r="J627" s="11" t="str">
        <f t="shared" si="47"/>
        <v/>
      </c>
      <c r="K627" s="17" t="str">
        <f t="shared" si="48"/>
        <v/>
      </c>
      <c r="L627" s="18" t="str">
        <f t="shared" si="49"/>
        <v/>
      </c>
      <c r="M627" s="18" t="str">
        <f>IF(J627&lt;&gt;-1,"",ROUND(F627*IFERROR(INDEX(Stocuri!$G$5:$G$204,MATCH(D627,Coduri,0)),0),2))</f>
        <v/>
      </c>
      <c r="N627" s="19" t="str">
        <f t="shared" si="50"/>
        <v/>
      </c>
    </row>
    <row r="628" spans="2:14" x14ac:dyDescent="0.2">
      <c r="B628" s="15"/>
      <c r="C628" s="6"/>
      <c r="D628" s="12"/>
      <c r="E628" s="10" t="str">
        <f t="shared" si="46"/>
        <v/>
      </c>
      <c r="F628" s="16"/>
      <c r="G628" s="13"/>
      <c r="H628" s="6"/>
      <c r="I628" s="6"/>
      <c r="J628" s="11" t="str">
        <f t="shared" si="47"/>
        <v/>
      </c>
      <c r="K628" s="17" t="str">
        <f t="shared" si="48"/>
        <v/>
      </c>
      <c r="L628" s="18" t="str">
        <f t="shared" si="49"/>
        <v/>
      </c>
      <c r="M628" s="18" t="str">
        <f>IF(J628&lt;&gt;-1,"",ROUND(F628*IFERROR(INDEX(Stocuri!$G$5:$G$204,MATCH(D628,Coduri,0)),0),2))</f>
        <v/>
      </c>
      <c r="N628" s="19" t="str">
        <f t="shared" si="50"/>
        <v/>
      </c>
    </row>
    <row r="629" spans="2:14" x14ac:dyDescent="0.2">
      <c r="B629" s="15"/>
      <c r="C629" s="6"/>
      <c r="D629" s="12"/>
      <c r="E629" s="10" t="str">
        <f t="shared" si="46"/>
        <v/>
      </c>
      <c r="F629" s="16"/>
      <c r="G629" s="13"/>
      <c r="H629" s="6"/>
      <c r="I629" s="6"/>
      <c r="J629" s="11" t="str">
        <f t="shared" si="47"/>
        <v/>
      </c>
      <c r="K629" s="17" t="str">
        <f t="shared" si="48"/>
        <v/>
      </c>
      <c r="L629" s="18" t="str">
        <f t="shared" si="49"/>
        <v/>
      </c>
      <c r="M629" s="18" t="str">
        <f>IF(J629&lt;&gt;-1,"",ROUND(F629*IFERROR(INDEX(Stocuri!$G$5:$G$204,MATCH(D629,Coduri,0)),0),2))</f>
        <v/>
      </c>
      <c r="N629" s="19" t="str">
        <f t="shared" si="50"/>
        <v/>
      </c>
    </row>
    <row r="630" spans="2:14" x14ac:dyDescent="0.2">
      <c r="B630" s="15"/>
      <c r="C630" s="6"/>
      <c r="D630" s="12"/>
      <c r="E630" s="10" t="str">
        <f t="shared" si="46"/>
        <v/>
      </c>
      <c r="F630" s="16"/>
      <c r="G630" s="13"/>
      <c r="H630" s="6"/>
      <c r="I630" s="6"/>
      <c r="J630" s="11" t="str">
        <f t="shared" si="47"/>
        <v/>
      </c>
      <c r="K630" s="17" t="str">
        <f t="shared" si="48"/>
        <v/>
      </c>
      <c r="L630" s="18" t="str">
        <f t="shared" si="49"/>
        <v/>
      </c>
      <c r="M630" s="18" t="str">
        <f>IF(J630&lt;&gt;-1,"",ROUND(F630*IFERROR(INDEX(Stocuri!$G$5:$G$204,MATCH(D630,Coduri,0)),0),2))</f>
        <v/>
      </c>
      <c r="N630" s="19" t="str">
        <f t="shared" si="50"/>
        <v/>
      </c>
    </row>
    <row r="631" spans="2:14" x14ac:dyDescent="0.2">
      <c r="B631" s="15"/>
      <c r="C631" s="6"/>
      <c r="D631" s="12"/>
      <c r="E631" s="10" t="str">
        <f t="shared" si="46"/>
        <v/>
      </c>
      <c r="F631" s="16"/>
      <c r="G631" s="13"/>
      <c r="H631" s="6"/>
      <c r="I631" s="6"/>
      <c r="J631" s="11" t="str">
        <f t="shared" si="47"/>
        <v/>
      </c>
      <c r="K631" s="17" t="str">
        <f t="shared" si="48"/>
        <v/>
      </c>
      <c r="L631" s="18" t="str">
        <f t="shared" si="49"/>
        <v/>
      </c>
      <c r="M631" s="18" t="str">
        <f>IF(J631&lt;&gt;-1,"",ROUND(F631*IFERROR(INDEX(Stocuri!$G$5:$G$204,MATCH(D631,Coduri,0)),0),2))</f>
        <v/>
      </c>
      <c r="N631" s="19" t="str">
        <f t="shared" si="50"/>
        <v/>
      </c>
    </row>
    <row r="632" spans="2:14" x14ac:dyDescent="0.2">
      <c r="B632" s="15"/>
      <c r="C632" s="6"/>
      <c r="D632" s="12"/>
      <c r="E632" s="10" t="str">
        <f t="shared" si="46"/>
        <v/>
      </c>
      <c r="F632" s="16"/>
      <c r="G632" s="13"/>
      <c r="H632" s="6"/>
      <c r="I632" s="6"/>
      <c r="J632" s="11" t="str">
        <f t="shared" si="47"/>
        <v/>
      </c>
      <c r="K632" s="17" t="str">
        <f t="shared" si="48"/>
        <v/>
      </c>
      <c r="L632" s="18" t="str">
        <f t="shared" si="49"/>
        <v/>
      </c>
      <c r="M632" s="18" t="str">
        <f>IF(J632&lt;&gt;-1,"",ROUND(F632*IFERROR(INDEX(Stocuri!$G$5:$G$204,MATCH(D632,Coduri,0)),0),2))</f>
        <v/>
      </c>
      <c r="N632" s="19" t="str">
        <f t="shared" si="50"/>
        <v/>
      </c>
    </row>
    <row r="633" spans="2:14" x14ac:dyDescent="0.2">
      <c r="B633" s="15"/>
      <c r="C633" s="6"/>
      <c r="D633" s="12"/>
      <c r="E633" s="10" t="str">
        <f t="shared" si="46"/>
        <v/>
      </c>
      <c r="F633" s="16"/>
      <c r="G633" s="13"/>
      <c r="H633" s="6"/>
      <c r="I633" s="6"/>
      <c r="J633" s="11" t="str">
        <f t="shared" si="47"/>
        <v/>
      </c>
      <c r="K633" s="17" t="str">
        <f t="shared" si="48"/>
        <v/>
      </c>
      <c r="L633" s="18" t="str">
        <f t="shared" si="49"/>
        <v/>
      </c>
      <c r="M633" s="18" t="str">
        <f>IF(J633&lt;&gt;-1,"",ROUND(F633*IFERROR(INDEX(Stocuri!$G$5:$G$204,MATCH(D633,Coduri,0)),0),2))</f>
        <v/>
      </c>
      <c r="N633" s="19" t="str">
        <f t="shared" si="50"/>
        <v/>
      </c>
    </row>
    <row r="634" spans="2:14" x14ac:dyDescent="0.2">
      <c r="B634" s="15"/>
      <c r="C634" s="6"/>
      <c r="D634" s="12"/>
      <c r="E634" s="10" t="str">
        <f t="shared" si="46"/>
        <v/>
      </c>
      <c r="F634" s="16"/>
      <c r="G634" s="13"/>
      <c r="H634" s="6"/>
      <c r="I634" s="6"/>
      <c r="J634" s="11" t="str">
        <f t="shared" si="47"/>
        <v/>
      </c>
      <c r="K634" s="17" t="str">
        <f t="shared" si="48"/>
        <v/>
      </c>
      <c r="L634" s="18" t="str">
        <f t="shared" si="49"/>
        <v/>
      </c>
      <c r="M634" s="18" t="str">
        <f>IF(J634&lt;&gt;-1,"",ROUND(F634*IFERROR(INDEX(Stocuri!$G$5:$G$204,MATCH(D634,Coduri,0)),0),2))</f>
        <v/>
      </c>
      <c r="N634" s="19" t="str">
        <f t="shared" si="50"/>
        <v/>
      </c>
    </row>
    <row r="635" spans="2:14" x14ac:dyDescent="0.2">
      <c r="B635" s="15"/>
      <c r="C635" s="6"/>
      <c r="D635" s="12"/>
      <c r="E635" s="10" t="str">
        <f t="shared" si="46"/>
        <v/>
      </c>
      <c r="F635" s="16"/>
      <c r="G635" s="13"/>
      <c r="H635" s="6"/>
      <c r="I635" s="6"/>
      <c r="J635" s="11" t="str">
        <f t="shared" si="47"/>
        <v/>
      </c>
      <c r="K635" s="17" t="str">
        <f t="shared" si="48"/>
        <v/>
      </c>
      <c r="L635" s="18" t="str">
        <f t="shared" si="49"/>
        <v/>
      </c>
      <c r="M635" s="18" t="str">
        <f>IF(J635&lt;&gt;-1,"",ROUND(F635*IFERROR(INDEX(Stocuri!$G$5:$G$204,MATCH(D635,Coduri,0)),0),2))</f>
        <v/>
      </c>
      <c r="N635" s="19" t="str">
        <f t="shared" si="50"/>
        <v/>
      </c>
    </row>
    <row r="636" spans="2:14" x14ac:dyDescent="0.2">
      <c r="B636" s="15"/>
      <c r="C636" s="6"/>
      <c r="D636" s="12"/>
      <c r="E636" s="10" t="str">
        <f t="shared" si="46"/>
        <v/>
      </c>
      <c r="F636" s="16"/>
      <c r="G636" s="13"/>
      <c r="H636" s="6"/>
      <c r="I636" s="6"/>
      <c r="J636" s="11" t="str">
        <f t="shared" si="47"/>
        <v/>
      </c>
      <c r="K636" s="17" t="str">
        <f t="shared" si="48"/>
        <v/>
      </c>
      <c r="L636" s="18" t="str">
        <f t="shared" si="49"/>
        <v/>
      </c>
      <c r="M636" s="18" t="str">
        <f>IF(J636&lt;&gt;-1,"",ROUND(F636*IFERROR(INDEX(Stocuri!$G$5:$G$204,MATCH(D636,Coduri,0)),0),2))</f>
        <v/>
      </c>
      <c r="N636" s="19" t="str">
        <f t="shared" si="50"/>
        <v/>
      </c>
    </row>
    <row r="637" spans="2:14" x14ac:dyDescent="0.2">
      <c r="B637" s="15"/>
      <c r="C637" s="6"/>
      <c r="D637" s="12"/>
      <c r="E637" s="10" t="str">
        <f t="shared" si="46"/>
        <v/>
      </c>
      <c r="F637" s="16"/>
      <c r="G637" s="13"/>
      <c r="H637" s="6"/>
      <c r="I637" s="6"/>
      <c r="J637" s="11" t="str">
        <f t="shared" si="47"/>
        <v/>
      </c>
      <c r="K637" s="17" t="str">
        <f t="shared" si="48"/>
        <v/>
      </c>
      <c r="L637" s="18" t="str">
        <f t="shared" si="49"/>
        <v/>
      </c>
      <c r="M637" s="18" t="str">
        <f>IF(J637&lt;&gt;-1,"",ROUND(F637*IFERROR(INDEX(Stocuri!$G$5:$G$204,MATCH(D637,Coduri,0)),0),2))</f>
        <v/>
      </c>
      <c r="N637" s="19" t="str">
        <f t="shared" si="50"/>
        <v/>
      </c>
    </row>
    <row r="638" spans="2:14" x14ac:dyDescent="0.2">
      <c r="B638" s="15"/>
      <c r="C638" s="6"/>
      <c r="D638" s="12"/>
      <c r="E638" s="10" t="str">
        <f t="shared" si="46"/>
        <v/>
      </c>
      <c r="F638" s="16"/>
      <c r="G638" s="13"/>
      <c r="H638" s="6"/>
      <c r="I638" s="6"/>
      <c r="J638" s="11" t="str">
        <f t="shared" si="47"/>
        <v/>
      </c>
      <c r="K638" s="17" t="str">
        <f t="shared" si="48"/>
        <v/>
      </c>
      <c r="L638" s="18" t="str">
        <f t="shared" si="49"/>
        <v/>
      </c>
      <c r="M638" s="18" t="str">
        <f>IF(J638&lt;&gt;-1,"",ROUND(F638*IFERROR(INDEX(Stocuri!$G$5:$G$204,MATCH(D638,Coduri,0)),0),2))</f>
        <v/>
      </c>
      <c r="N638" s="19" t="str">
        <f t="shared" si="50"/>
        <v/>
      </c>
    </row>
    <row r="639" spans="2:14" x14ac:dyDescent="0.2">
      <c r="B639" s="15"/>
      <c r="C639" s="6"/>
      <c r="D639" s="12"/>
      <c r="E639" s="10" t="str">
        <f t="shared" si="46"/>
        <v/>
      </c>
      <c r="F639" s="16"/>
      <c r="G639" s="13"/>
      <c r="H639" s="6"/>
      <c r="I639" s="6"/>
      <c r="J639" s="11" t="str">
        <f t="shared" si="47"/>
        <v/>
      </c>
      <c r="K639" s="17" t="str">
        <f t="shared" si="48"/>
        <v/>
      </c>
      <c r="L639" s="18" t="str">
        <f t="shared" si="49"/>
        <v/>
      </c>
      <c r="M639" s="18" t="str">
        <f>IF(J639&lt;&gt;-1,"",ROUND(F639*IFERROR(INDEX(Stocuri!$G$5:$G$204,MATCH(D639,Coduri,0)),0),2))</f>
        <v/>
      </c>
      <c r="N639" s="19" t="str">
        <f t="shared" si="50"/>
        <v/>
      </c>
    </row>
    <row r="640" spans="2:14" x14ac:dyDescent="0.2">
      <c r="B640" s="15"/>
      <c r="C640" s="6"/>
      <c r="D640" s="12"/>
      <c r="E640" s="10" t="str">
        <f t="shared" si="46"/>
        <v/>
      </c>
      <c r="F640" s="16"/>
      <c r="G640" s="13"/>
      <c r="H640" s="6"/>
      <c r="I640" s="6"/>
      <c r="J640" s="11" t="str">
        <f t="shared" si="47"/>
        <v/>
      </c>
      <c r="K640" s="17" t="str">
        <f t="shared" si="48"/>
        <v/>
      </c>
      <c r="L640" s="18" t="str">
        <f t="shared" si="49"/>
        <v/>
      </c>
      <c r="M640" s="18" t="str">
        <f>IF(J640&lt;&gt;-1,"",ROUND(F640*IFERROR(INDEX(Stocuri!$G$5:$G$204,MATCH(D640,Coduri,0)),0),2))</f>
        <v/>
      </c>
      <c r="N640" s="19" t="str">
        <f t="shared" si="50"/>
        <v/>
      </c>
    </row>
    <row r="641" spans="2:14" x14ac:dyDescent="0.2">
      <c r="B641" s="15"/>
      <c r="C641" s="6"/>
      <c r="D641" s="12"/>
      <c r="E641" s="10" t="str">
        <f t="shared" si="46"/>
        <v/>
      </c>
      <c r="F641" s="16"/>
      <c r="G641" s="13"/>
      <c r="H641" s="6"/>
      <c r="I641" s="6"/>
      <c r="J641" s="11" t="str">
        <f t="shared" si="47"/>
        <v/>
      </c>
      <c r="K641" s="17" t="str">
        <f t="shared" si="48"/>
        <v/>
      </c>
      <c r="L641" s="18" t="str">
        <f t="shared" si="49"/>
        <v/>
      </c>
      <c r="M641" s="18" t="str">
        <f>IF(J641&lt;&gt;-1,"",ROUND(F641*IFERROR(INDEX(Stocuri!$G$5:$G$204,MATCH(D641,Coduri,0)),0),2))</f>
        <v/>
      </c>
      <c r="N641" s="19" t="str">
        <f t="shared" si="50"/>
        <v/>
      </c>
    </row>
    <row r="642" spans="2:14" x14ac:dyDescent="0.2">
      <c r="B642" s="15"/>
      <c r="C642" s="6"/>
      <c r="D642" s="12"/>
      <c r="E642" s="10" t="str">
        <f t="shared" si="46"/>
        <v/>
      </c>
      <c r="F642" s="16"/>
      <c r="G642" s="13"/>
      <c r="H642" s="6"/>
      <c r="I642" s="6"/>
      <c r="J642" s="11" t="str">
        <f t="shared" si="47"/>
        <v/>
      </c>
      <c r="K642" s="17" t="str">
        <f t="shared" si="48"/>
        <v/>
      </c>
      <c r="L642" s="18" t="str">
        <f t="shared" si="49"/>
        <v/>
      </c>
      <c r="M642" s="18" t="str">
        <f>IF(J642&lt;&gt;-1,"",ROUND(F642*IFERROR(INDEX(Stocuri!$G$5:$G$204,MATCH(D642,Coduri,0)),0),2))</f>
        <v/>
      </c>
      <c r="N642" s="19" t="str">
        <f t="shared" si="50"/>
        <v/>
      </c>
    </row>
    <row r="643" spans="2:14" x14ac:dyDescent="0.2">
      <c r="B643" s="15"/>
      <c r="C643" s="6"/>
      <c r="D643" s="12"/>
      <c r="E643" s="10" t="str">
        <f t="shared" si="46"/>
        <v/>
      </c>
      <c r="F643" s="16"/>
      <c r="G643" s="13"/>
      <c r="H643" s="6"/>
      <c r="I643" s="6"/>
      <c r="J643" s="11" t="str">
        <f t="shared" si="47"/>
        <v/>
      </c>
      <c r="K643" s="17" t="str">
        <f t="shared" si="48"/>
        <v/>
      </c>
      <c r="L643" s="18" t="str">
        <f t="shared" si="49"/>
        <v/>
      </c>
      <c r="M643" s="18" t="str">
        <f>IF(J643&lt;&gt;-1,"",ROUND(F643*IFERROR(INDEX(Stocuri!$G$5:$G$204,MATCH(D643,Coduri,0)),0),2))</f>
        <v/>
      </c>
      <c r="N643" s="19" t="str">
        <f t="shared" si="50"/>
        <v/>
      </c>
    </row>
    <row r="644" spans="2:14" x14ac:dyDescent="0.2">
      <c r="B644" s="15"/>
      <c r="C644" s="6"/>
      <c r="D644" s="12"/>
      <c r="E644" s="10" t="str">
        <f t="shared" si="46"/>
        <v/>
      </c>
      <c r="F644" s="16"/>
      <c r="G644" s="13"/>
      <c r="H644" s="6"/>
      <c r="I644" s="6"/>
      <c r="J644" s="11" t="str">
        <f t="shared" si="47"/>
        <v/>
      </c>
      <c r="K644" s="17" t="str">
        <f t="shared" si="48"/>
        <v/>
      </c>
      <c r="L644" s="18" t="str">
        <f t="shared" si="49"/>
        <v/>
      </c>
      <c r="M644" s="18" t="str">
        <f>IF(J644&lt;&gt;-1,"",ROUND(F644*IFERROR(INDEX(Stocuri!$G$5:$G$204,MATCH(D644,Coduri,0)),0),2))</f>
        <v/>
      </c>
      <c r="N644" s="19" t="str">
        <f t="shared" si="50"/>
        <v/>
      </c>
    </row>
    <row r="645" spans="2:14" x14ac:dyDescent="0.2">
      <c r="B645" s="15"/>
      <c r="C645" s="6"/>
      <c r="D645" s="12"/>
      <c r="E645" s="10" t="str">
        <f t="shared" ref="E645:E708" si="51">IF(D645="","",IFERROR(VLOOKUP(D645,Catalog,2,FALSE),""))</f>
        <v/>
      </c>
      <c r="F645" s="16"/>
      <c r="G645" s="13"/>
      <c r="H645" s="6"/>
      <c r="I645" s="6"/>
      <c r="J645" s="11" t="str">
        <f t="shared" ref="J645:J708" si="52">IF(C645="","",IFERROR(VLOOKUP(C645,TipSemn,2,FALSE),""))</f>
        <v/>
      </c>
      <c r="K645" s="17" t="str">
        <f t="shared" ref="K645:K708" si="53">IF(OR(J645="",F645=""),"",J645*F645)</f>
        <v/>
      </c>
      <c r="L645" s="18" t="str">
        <f t="shared" ref="L645:L708" si="54">IF(OR(J645&lt;&gt;1,G645=""),"",ROUND(F645*G645,2))</f>
        <v/>
      </c>
      <c r="M645" s="18" t="str">
        <f>IF(J645&lt;&gt;-1,"",ROUND(F645*IFERROR(INDEX(Stocuri!$G$5:$G$204,MATCH(D645,Coduri,0)),0),2))</f>
        <v/>
      </c>
      <c r="N645" s="19" t="str">
        <f t="shared" ref="N645:N708" si="55">IF(AND(B645="",D645=""),"",TRIM(IF(OR(B645="",C645="",D645="",F645=""),"Date incomplete. ","")&amp;IF(AND(D645&lt;&gt;"",E645=""),"Cod necunoscut. ","")&amp;IF(AND(J645=1,C645&lt;&gt;"Retur de la client",C645&lt;&gt;"Ajustare inventar +",G645=""),"Lipsește prețul de intrare. ","")&amp;IF(AND(J645=-1,D645&lt;&gt;"",SUMIFS($K$5:$K$2004,$D$5:$D$2004,D645,$B$5:$B$2004,"&lt;="&amp;B645)&lt;0),"Stoc insuficient la această dată. ","")&amp;IF(AND(C645&lt;&gt;"Stoc inițial",H645=""),"Lipsește documentul. ","")))</f>
        <v/>
      </c>
    </row>
    <row r="646" spans="2:14" x14ac:dyDescent="0.2">
      <c r="B646" s="15"/>
      <c r="C646" s="6"/>
      <c r="D646" s="12"/>
      <c r="E646" s="10" t="str">
        <f t="shared" si="51"/>
        <v/>
      </c>
      <c r="F646" s="16"/>
      <c r="G646" s="13"/>
      <c r="H646" s="6"/>
      <c r="I646" s="6"/>
      <c r="J646" s="11" t="str">
        <f t="shared" si="52"/>
        <v/>
      </c>
      <c r="K646" s="17" t="str">
        <f t="shared" si="53"/>
        <v/>
      </c>
      <c r="L646" s="18" t="str">
        <f t="shared" si="54"/>
        <v/>
      </c>
      <c r="M646" s="18" t="str">
        <f>IF(J646&lt;&gt;-1,"",ROUND(F646*IFERROR(INDEX(Stocuri!$G$5:$G$204,MATCH(D646,Coduri,0)),0),2))</f>
        <v/>
      </c>
      <c r="N646" s="19" t="str">
        <f t="shared" si="55"/>
        <v/>
      </c>
    </row>
    <row r="647" spans="2:14" x14ac:dyDescent="0.2">
      <c r="B647" s="15"/>
      <c r="C647" s="6"/>
      <c r="D647" s="12"/>
      <c r="E647" s="10" t="str">
        <f t="shared" si="51"/>
        <v/>
      </c>
      <c r="F647" s="16"/>
      <c r="G647" s="13"/>
      <c r="H647" s="6"/>
      <c r="I647" s="6"/>
      <c r="J647" s="11" t="str">
        <f t="shared" si="52"/>
        <v/>
      </c>
      <c r="K647" s="17" t="str">
        <f t="shared" si="53"/>
        <v/>
      </c>
      <c r="L647" s="18" t="str">
        <f t="shared" si="54"/>
        <v/>
      </c>
      <c r="M647" s="18" t="str">
        <f>IF(J647&lt;&gt;-1,"",ROUND(F647*IFERROR(INDEX(Stocuri!$G$5:$G$204,MATCH(D647,Coduri,0)),0),2))</f>
        <v/>
      </c>
      <c r="N647" s="19" t="str">
        <f t="shared" si="55"/>
        <v/>
      </c>
    </row>
    <row r="648" spans="2:14" x14ac:dyDescent="0.2">
      <c r="B648" s="15"/>
      <c r="C648" s="6"/>
      <c r="D648" s="12"/>
      <c r="E648" s="10" t="str">
        <f t="shared" si="51"/>
        <v/>
      </c>
      <c r="F648" s="16"/>
      <c r="G648" s="13"/>
      <c r="H648" s="6"/>
      <c r="I648" s="6"/>
      <c r="J648" s="11" t="str">
        <f t="shared" si="52"/>
        <v/>
      </c>
      <c r="K648" s="17" t="str">
        <f t="shared" si="53"/>
        <v/>
      </c>
      <c r="L648" s="18" t="str">
        <f t="shared" si="54"/>
        <v/>
      </c>
      <c r="M648" s="18" t="str">
        <f>IF(J648&lt;&gt;-1,"",ROUND(F648*IFERROR(INDEX(Stocuri!$G$5:$G$204,MATCH(D648,Coduri,0)),0),2))</f>
        <v/>
      </c>
      <c r="N648" s="19" t="str">
        <f t="shared" si="55"/>
        <v/>
      </c>
    </row>
    <row r="649" spans="2:14" x14ac:dyDescent="0.2">
      <c r="B649" s="15"/>
      <c r="C649" s="6"/>
      <c r="D649" s="12"/>
      <c r="E649" s="10" t="str">
        <f t="shared" si="51"/>
        <v/>
      </c>
      <c r="F649" s="16"/>
      <c r="G649" s="13"/>
      <c r="H649" s="6"/>
      <c r="I649" s="6"/>
      <c r="J649" s="11" t="str">
        <f t="shared" si="52"/>
        <v/>
      </c>
      <c r="K649" s="17" t="str">
        <f t="shared" si="53"/>
        <v/>
      </c>
      <c r="L649" s="18" t="str">
        <f t="shared" si="54"/>
        <v/>
      </c>
      <c r="M649" s="18" t="str">
        <f>IF(J649&lt;&gt;-1,"",ROUND(F649*IFERROR(INDEX(Stocuri!$G$5:$G$204,MATCH(D649,Coduri,0)),0),2))</f>
        <v/>
      </c>
      <c r="N649" s="19" t="str">
        <f t="shared" si="55"/>
        <v/>
      </c>
    </row>
    <row r="650" spans="2:14" x14ac:dyDescent="0.2">
      <c r="B650" s="15"/>
      <c r="C650" s="6"/>
      <c r="D650" s="12"/>
      <c r="E650" s="10" t="str">
        <f t="shared" si="51"/>
        <v/>
      </c>
      <c r="F650" s="16"/>
      <c r="G650" s="13"/>
      <c r="H650" s="6"/>
      <c r="I650" s="6"/>
      <c r="J650" s="11" t="str">
        <f t="shared" si="52"/>
        <v/>
      </c>
      <c r="K650" s="17" t="str">
        <f t="shared" si="53"/>
        <v/>
      </c>
      <c r="L650" s="18" t="str">
        <f t="shared" si="54"/>
        <v/>
      </c>
      <c r="M650" s="18" t="str">
        <f>IF(J650&lt;&gt;-1,"",ROUND(F650*IFERROR(INDEX(Stocuri!$G$5:$G$204,MATCH(D650,Coduri,0)),0),2))</f>
        <v/>
      </c>
      <c r="N650" s="19" t="str">
        <f t="shared" si="55"/>
        <v/>
      </c>
    </row>
    <row r="651" spans="2:14" x14ac:dyDescent="0.2">
      <c r="B651" s="15"/>
      <c r="C651" s="6"/>
      <c r="D651" s="12"/>
      <c r="E651" s="10" t="str">
        <f t="shared" si="51"/>
        <v/>
      </c>
      <c r="F651" s="16"/>
      <c r="G651" s="13"/>
      <c r="H651" s="6"/>
      <c r="I651" s="6"/>
      <c r="J651" s="11" t="str">
        <f t="shared" si="52"/>
        <v/>
      </c>
      <c r="K651" s="17" t="str">
        <f t="shared" si="53"/>
        <v/>
      </c>
      <c r="L651" s="18" t="str">
        <f t="shared" si="54"/>
        <v/>
      </c>
      <c r="M651" s="18" t="str">
        <f>IF(J651&lt;&gt;-1,"",ROUND(F651*IFERROR(INDEX(Stocuri!$G$5:$G$204,MATCH(D651,Coduri,0)),0),2))</f>
        <v/>
      </c>
      <c r="N651" s="19" t="str">
        <f t="shared" si="55"/>
        <v/>
      </c>
    </row>
    <row r="652" spans="2:14" x14ac:dyDescent="0.2">
      <c r="B652" s="15"/>
      <c r="C652" s="6"/>
      <c r="D652" s="12"/>
      <c r="E652" s="10" t="str">
        <f t="shared" si="51"/>
        <v/>
      </c>
      <c r="F652" s="16"/>
      <c r="G652" s="13"/>
      <c r="H652" s="6"/>
      <c r="I652" s="6"/>
      <c r="J652" s="11" t="str">
        <f t="shared" si="52"/>
        <v/>
      </c>
      <c r="K652" s="17" t="str">
        <f t="shared" si="53"/>
        <v/>
      </c>
      <c r="L652" s="18" t="str">
        <f t="shared" si="54"/>
        <v/>
      </c>
      <c r="M652" s="18" t="str">
        <f>IF(J652&lt;&gt;-1,"",ROUND(F652*IFERROR(INDEX(Stocuri!$G$5:$G$204,MATCH(D652,Coduri,0)),0),2))</f>
        <v/>
      </c>
      <c r="N652" s="19" t="str">
        <f t="shared" si="55"/>
        <v/>
      </c>
    </row>
    <row r="653" spans="2:14" x14ac:dyDescent="0.2">
      <c r="B653" s="15"/>
      <c r="C653" s="6"/>
      <c r="D653" s="12"/>
      <c r="E653" s="10" t="str">
        <f t="shared" si="51"/>
        <v/>
      </c>
      <c r="F653" s="16"/>
      <c r="G653" s="13"/>
      <c r="H653" s="6"/>
      <c r="I653" s="6"/>
      <c r="J653" s="11" t="str">
        <f t="shared" si="52"/>
        <v/>
      </c>
      <c r="K653" s="17" t="str">
        <f t="shared" si="53"/>
        <v/>
      </c>
      <c r="L653" s="18" t="str">
        <f t="shared" si="54"/>
        <v/>
      </c>
      <c r="M653" s="18" t="str">
        <f>IF(J653&lt;&gt;-1,"",ROUND(F653*IFERROR(INDEX(Stocuri!$G$5:$G$204,MATCH(D653,Coduri,0)),0),2))</f>
        <v/>
      </c>
      <c r="N653" s="19" t="str">
        <f t="shared" si="55"/>
        <v/>
      </c>
    </row>
    <row r="654" spans="2:14" x14ac:dyDescent="0.2">
      <c r="B654" s="15"/>
      <c r="C654" s="6"/>
      <c r="D654" s="12"/>
      <c r="E654" s="10" t="str">
        <f t="shared" si="51"/>
        <v/>
      </c>
      <c r="F654" s="16"/>
      <c r="G654" s="13"/>
      <c r="H654" s="6"/>
      <c r="I654" s="6"/>
      <c r="J654" s="11" t="str">
        <f t="shared" si="52"/>
        <v/>
      </c>
      <c r="K654" s="17" t="str">
        <f t="shared" si="53"/>
        <v/>
      </c>
      <c r="L654" s="18" t="str">
        <f t="shared" si="54"/>
        <v/>
      </c>
      <c r="M654" s="18" t="str">
        <f>IF(J654&lt;&gt;-1,"",ROUND(F654*IFERROR(INDEX(Stocuri!$G$5:$G$204,MATCH(D654,Coduri,0)),0),2))</f>
        <v/>
      </c>
      <c r="N654" s="19" t="str">
        <f t="shared" si="55"/>
        <v/>
      </c>
    </row>
    <row r="655" spans="2:14" x14ac:dyDescent="0.2">
      <c r="B655" s="15"/>
      <c r="C655" s="6"/>
      <c r="D655" s="12"/>
      <c r="E655" s="10" t="str">
        <f t="shared" si="51"/>
        <v/>
      </c>
      <c r="F655" s="16"/>
      <c r="G655" s="13"/>
      <c r="H655" s="6"/>
      <c r="I655" s="6"/>
      <c r="J655" s="11" t="str">
        <f t="shared" si="52"/>
        <v/>
      </c>
      <c r="K655" s="17" t="str">
        <f t="shared" si="53"/>
        <v/>
      </c>
      <c r="L655" s="18" t="str">
        <f t="shared" si="54"/>
        <v/>
      </c>
      <c r="M655" s="18" t="str">
        <f>IF(J655&lt;&gt;-1,"",ROUND(F655*IFERROR(INDEX(Stocuri!$G$5:$G$204,MATCH(D655,Coduri,0)),0),2))</f>
        <v/>
      </c>
      <c r="N655" s="19" t="str">
        <f t="shared" si="55"/>
        <v/>
      </c>
    </row>
    <row r="656" spans="2:14" x14ac:dyDescent="0.2">
      <c r="B656" s="15"/>
      <c r="C656" s="6"/>
      <c r="D656" s="12"/>
      <c r="E656" s="10" t="str">
        <f t="shared" si="51"/>
        <v/>
      </c>
      <c r="F656" s="16"/>
      <c r="G656" s="13"/>
      <c r="H656" s="6"/>
      <c r="I656" s="6"/>
      <c r="J656" s="11" t="str">
        <f t="shared" si="52"/>
        <v/>
      </c>
      <c r="K656" s="17" t="str">
        <f t="shared" si="53"/>
        <v/>
      </c>
      <c r="L656" s="18" t="str">
        <f t="shared" si="54"/>
        <v/>
      </c>
      <c r="M656" s="18" t="str">
        <f>IF(J656&lt;&gt;-1,"",ROUND(F656*IFERROR(INDEX(Stocuri!$G$5:$G$204,MATCH(D656,Coduri,0)),0),2))</f>
        <v/>
      </c>
      <c r="N656" s="19" t="str">
        <f t="shared" si="55"/>
        <v/>
      </c>
    </row>
    <row r="657" spans="2:14" x14ac:dyDescent="0.2">
      <c r="B657" s="15"/>
      <c r="C657" s="6"/>
      <c r="D657" s="12"/>
      <c r="E657" s="10" t="str">
        <f t="shared" si="51"/>
        <v/>
      </c>
      <c r="F657" s="16"/>
      <c r="G657" s="13"/>
      <c r="H657" s="6"/>
      <c r="I657" s="6"/>
      <c r="J657" s="11" t="str">
        <f t="shared" si="52"/>
        <v/>
      </c>
      <c r="K657" s="17" t="str">
        <f t="shared" si="53"/>
        <v/>
      </c>
      <c r="L657" s="18" t="str">
        <f t="shared" si="54"/>
        <v/>
      </c>
      <c r="M657" s="18" t="str">
        <f>IF(J657&lt;&gt;-1,"",ROUND(F657*IFERROR(INDEX(Stocuri!$G$5:$G$204,MATCH(D657,Coduri,0)),0),2))</f>
        <v/>
      </c>
      <c r="N657" s="19" t="str">
        <f t="shared" si="55"/>
        <v/>
      </c>
    </row>
    <row r="658" spans="2:14" x14ac:dyDescent="0.2">
      <c r="B658" s="15"/>
      <c r="C658" s="6"/>
      <c r="D658" s="12"/>
      <c r="E658" s="10" t="str">
        <f t="shared" si="51"/>
        <v/>
      </c>
      <c r="F658" s="16"/>
      <c r="G658" s="13"/>
      <c r="H658" s="6"/>
      <c r="I658" s="6"/>
      <c r="J658" s="11" t="str">
        <f t="shared" si="52"/>
        <v/>
      </c>
      <c r="K658" s="17" t="str">
        <f t="shared" si="53"/>
        <v/>
      </c>
      <c r="L658" s="18" t="str">
        <f t="shared" si="54"/>
        <v/>
      </c>
      <c r="M658" s="18" t="str">
        <f>IF(J658&lt;&gt;-1,"",ROUND(F658*IFERROR(INDEX(Stocuri!$G$5:$G$204,MATCH(D658,Coduri,0)),0),2))</f>
        <v/>
      </c>
      <c r="N658" s="19" t="str">
        <f t="shared" si="55"/>
        <v/>
      </c>
    </row>
    <row r="659" spans="2:14" x14ac:dyDescent="0.2">
      <c r="B659" s="15"/>
      <c r="C659" s="6"/>
      <c r="D659" s="12"/>
      <c r="E659" s="10" t="str">
        <f t="shared" si="51"/>
        <v/>
      </c>
      <c r="F659" s="16"/>
      <c r="G659" s="13"/>
      <c r="H659" s="6"/>
      <c r="I659" s="6"/>
      <c r="J659" s="11" t="str">
        <f t="shared" si="52"/>
        <v/>
      </c>
      <c r="K659" s="17" t="str">
        <f t="shared" si="53"/>
        <v/>
      </c>
      <c r="L659" s="18" t="str">
        <f t="shared" si="54"/>
        <v/>
      </c>
      <c r="M659" s="18" t="str">
        <f>IF(J659&lt;&gt;-1,"",ROUND(F659*IFERROR(INDEX(Stocuri!$G$5:$G$204,MATCH(D659,Coduri,0)),0),2))</f>
        <v/>
      </c>
      <c r="N659" s="19" t="str">
        <f t="shared" si="55"/>
        <v/>
      </c>
    </row>
    <row r="660" spans="2:14" x14ac:dyDescent="0.2">
      <c r="B660" s="15"/>
      <c r="C660" s="6"/>
      <c r="D660" s="12"/>
      <c r="E660" s="10" t="str">
        <f t="shared" si="51"/>
        <v/>
      </c>
      <c r="F660" s="16"/>
      <c r="G660" s="13"/>
      <c r="H660" s="6"/>
      <c r="I660" s="6"/>
      <c r="J660" s="11" t="str">
        <f t="shared" si="52"/>
        <v/>
      </c>
      <c r="K660" s="17" t="str">
        <f t="shared" si="53"/>
        <v/>
      </c>
      <c r="L660" s="18" t="str">
        <f t="shared" si="54"/>
        <v/>
      </c>
      <c r="M660" s="18" t="str">
        <f>IF(J660&lt;&gt;-1,"",ROUND(F660*IFERROR(INDEX(Stocuri!$G$5:$G$204,MATCH(D660,Coduri,0)),0),2))</f>
        <v/>
      </c>
      <c r="N660" s="19" t="str">
        <f t="shared" si="55"/>
        <v/>
      </c>
    </row>
    <row r="661" spans="2:14" x14ac:dyDescent="0.2">
      <c r="B661" s="15"/>
      <c r="C661" s="6"/>
      <c r="D661" s="12"/>
      <c r="E661" s="10" t="str">
        <f t="shared" si="51"/>
        <v/>
      </c>
      <c r="F661" s="16"/>
      <c r="G661" s="13"/>
      <c r="H661" s="6"/>
      <c r="I661" s="6"/>
      <c r="J661" s="11" t="str">
        <f t="shared" si="52"/>
        <v/>
      </c>
      <c r="K661" s="17" t="str">
        <f t="shared" si="53"/>
        <v/>
      </c>
      <c r="L661" s="18" t="str">
        <f t="shared" si="54"/>
        <v/>
      </c>
      <c r="M661" s="18" t="str">
        <f>IF(J661&lt;&gt;-1,"",ROUND(F661*IFERROR(INDEX(Stocuri!$G$5:$G$204,MATCH(D661,Coduri,0)),0),2))</f>
        <v/>
      </c>
      <c r="N661" s="19" t="str">
        <f t="shared" si="55"/>
        <v/>
      </c>
    </row>
    <row r="662" spans="2:14" x14ac:dyDescent="0.2">
      <c r="B662" s="15"/>
      <c r="C662" s="6"/>
      <c r="D662" s="12"/>
      <c r="E662" s="10" t="str">
        <f t="shared" si="51"/>
        <v/>
      </c>
      <c r="F662" s="16"/>
      <c r="G662" s="13"/>
      <c r="H662" s="6"/>
      <c r="I662" s="6"/>
      <c r="J662" s="11" t="str">
        <f t="shared" si="52"/>
        <v/>
      </c>
      <c r="K662" s="17" t="str">
        <f t="shared" si="53"/>
        <v/>
      </c>
      <c r="L662" s="18" t="str">
        <f t="shared" si="54"/>
        <v/>
      </c>
      <c r="M662" s="18" t="str">
        <f>IF(J662&lt;&gt;-1,"",ROUND(F662*IFERROR(INDEX(Stocuri!$G$5:$G$204,MATCH(D662,Coduri,0)),0),2))</f>
        <v/>
      </c>
      <c r="N662" s="19" t="str">
        <f t="shared" si="55"/>
        <v/>
      </c>
    </row>
    <row r="663" spans="2:14" x14ac:dyDescent="0.2">
      <c r="B663" s="15"/>
      <c r="C663" s="6"/>
      <c r="D663" s="12"/>
      <c r="E663" s="10" t="str">
        <f t="shared" si="51"/>
        <v/>
      </c>
      <c r="F663" s="16"/>
      <c r="G663" s="13"/>
      <c r="H663" s="6"/>
      <c r="I663" s="6"/>
      <c r="J663" s="11" t="str">
        <f t="shared" si="52"/>
        <v/>
      </c>
      <c r="K663" s="17" t="str">
        <f t="shared" si="53"/>
        <v/>
      </c>
      <c r="L663" s="18" t="str">
        <f t="shared" si="54"/>
        <v/>
      </c>
      <c r="M663" s="18" t="str">
        <f>IF(J663&lt;&gt;-1,"",ROUND(F663*IFERROR(INDEX(Stocuri!$G$5:$G$204,MATCH(D663,Coduri,0)),0),2))</f>
        <v/>
      </c>
      <c r="N663" s="19" t="str">
        <f t="shared" si="55"/>
        <v/>
      </c>
    </row>
    <row r="664" spans="2:14" x14ac:dyDescent="0.2">
      <c r="B664" s="15"/>
      <c r="C664" s="6"/>
      <c r="D664" s="12"/>
      <c r="E664" s="10" t="str">
        <f t="shared" si="51"/>
        <v/>
      </c>
      <c r="F664" s="16"/>
      <c r="G664" s="13"/>
      <c r="H664" s="6"/>
      <c r="I664" s="6"/>
      <c r="J664" s="11" t="str">
        <f t="shared" si="52"/>
        <v/>
      </c>
      <c r="K664" s="17" t="str">
        <f t="shared" si="53"/>
        <v/>
      </c>
      <c r="L664" s="18" t="str">
        <f t="shared" si="54"/>
        <v/>
      </c>
      <c r="M664" s="18" t="str">
        <f>IF(J664&lt;&gt;-1,"",ROUND(F664*IFERROR(INDEX(Stocuri!$G$5:$G$204,MATCH(D664,Coduri,0)),0),2))</f>
        <v/>
      </c>
      <c r="N664" s="19" t="str">
        <f t="shared" si="55"/>
        <v/>
      </c>
    </row>
    <row r="665" spans="2:14" x14ac:dyDescent="0.2">
      <c r="B665" s="15"/>
      <c r="C665" s="6"/>
      <c r="D665" s="12"/>
      <c r="E665" s="10" t="str">
        <f t="shared" si="51"/>
        <v/>
      </c>
      <c r="F665" s="16"/>
      <c r="G665" s="13"/>
      <c r="H665" s="6"/>
      <c r="I665" s="6"/>
      <c r="J665" s="11" t="str">
        <f t="shared" si="52"/>
        <v/>
      </c>
      <c r="K665" s="17" t="str">
        <f t="shared" si="53"/>
        <v/>
      </c>
      <c r="L665" s="18" t="str">
        <f t="shared" si="54"/>
        <v/>
      </c>
      <c r="M665" s="18" t="str">
        <f>IF(J665&lt;&gt;-1,"",ROUND(F665*IFERROR(INDEX(Stocuri!$G$5:$G$204,MATCH(D665,Coduri,0)),0),2))</f>
        <v/>
      </c>
      <c r="N665" s="19" t="str">
        <f t="shared" si="55"/>
        <v/>
      </c>
    </row>
    <row r="666" spans="2:14" x14ac:dyDescent="0.2">
      <c r="B666" s="15"/>
      <c r="C666" s="6"/>
      <c r="D666" s="12"/>
      <c r="E666" s="10" t="str">
        <f t="shared" si="51"/>
        <v/>
      </c>
      <c r="F666" s="16"/>
      <c r="G666" s="13"/>
      <c r="H666" s="6"/>
      <c r="I666" s="6"/>
      <c r="J666" s="11" t="str">
        <f t="shared" si="52"/>
        <v/>
      </c>
      <c r="K666" s="17" t="str">
        <f t="shared" si="53"/>
        <v/>
      </c>
      <c r="L666" s="18" t="str">
        <f t="shared" si="54"/>
        <v/>
      </c>
      <c r="M666" s="18" t="str">
        <f>IF(J666&lt;&gt;-1,"",ROUND(F666*IFERROR(INDEX(Stocuri!$G$5:$G$204,MATCH(D666,Coduri,0)),0),2))</f>
        <v/>
      </c>
      <c r="N666" s="19" t="str">
        <f t="shared" si="55"/>
        <v/>
      </c>
    </row>
    <row r="667" spans="2:14" x14ac:dyDescent="0.2">
      <c r="B667" s="15"/>
      <c r="C667" s="6"/>
      <c r="D667" s="12"/>
      <c r="E667" s="10" t="str">
        <f t="shared" si="51"/>
        <v/>
      </c>
      <c r="F667" s="16"/>
      <c r="G667" s="13"/>
      <c r="H667" s="6"/>
      <c r="I667" s="6"/>
      <c r="J667" s="11" t="str">
        <f t="shared" si="52"/>
        <v/>
      </c>
      <c r="K667" s="17" t="str">
        <f t="shared" si="53"/>
        <v/>
      </c>
      <c r="L667" s="18" t="str">
        <f t="shared" si="54"/>
        <v/>
      </c>
      <c r="M667" s="18" t="str">
        <f>IF(J667&lt;&gt;-1,"",ROUND(F667*IFERROR(INDEX(Stocuri!$G$5:$G$204,MATCH(D667,Coduri,0)),0),2))</f>
        <v/>
      </c>
      <c r="N667" s="19" t="str">
        <f t="shared" si="55"/>
        <v/>
      </c>
    </row>
    <row r="668" spans="2:14" x14ac:dyDescent="0.2">
      <c r="B668" s="15"/>
      <c r="C668" s="6"/>
      <c r="D668" s="12"/>
      <c r="E668" s="10" t="str">
        <f t="shared" si="51"/>
        <v/>
      </c>
      <c r="F668" s="16"/>
      <c r="G668" s="13"/>
      <c r="H668" s="6"/>
      <c r="I668" s="6"/>
      <c r="J668" s="11" t="str">
        <f t="shared" si="52"/>
        <v/>
      </c>
      <c r="K668" s="17" t="str">
        <f t="shared" si="53"/>
        <v/>
      </c>
      <c r="L668" s="18" t="str">
        <f t="shared" si="54"/>
        <v/>
      </c>
      <c r="M668" s="18" t="str">
        <f>IF(J668&lt;&gt;-1,"",ROUND(F668*IFERROR(INDEX(Stocuri!$G$5:$G$204,MATCH(D668,Coduri,0)),0),2))</f>
        <v/>
      </c>
      <c r="N668" s="19" t="str">
        <f t="shared" si="55"/>
        <v/>
      </c>
    </row>
    <row r="669" spans="2:14" x14ac:dyDescent="0.2">
      <c r="B669" s="15"/>
      <c r="C669" s="6"/>
      <c r="D669" s="12"/>
      <c r="E669" s="10" t="str">
        <f t="shared" si="51"/>
        <v/>
      </c>
      <c r="F669" s="16"/>
      <c r="G669" s="13"/>
      <c r="H669" s="6"/>
      <c r="I669" s="6"/>
      <c r="J669" s="11" t="str">
        <f t="shared" si="52"/>
        <v/>
      </c>
      <c r="K669" s="17" t="str">
        <f t="shared" si="53"/>
        <v/>
      </c>
      <c r="L669" s="18" t="str">
        <f t="shared" si="54"/>
        <v/>
      </c>
      <c r="M669" s="18" t="str">
        <f>IF(J669&lt;&gt;-1,"",ROUND(F669*IFERROR(INDEX(Stocuri!$G$5:$G$204,MATCH(D669,Coduri,0)),0),2))</f>
        <v/>
      </c>
      <c r="N669" s="19" t="str">
        <f t="shared" si="55"/>
        <v/>
      </c>
    </row>
    <row r="670" spans="2:14" x14ac:dyDescent="0.2">
      <c r="B670" s="15"/>
      <c r="C670" s="6"/>
      <c r="D670" s="12"/>
      <c r="E670" s="10" t="str">
        <f t="shared" si="51"/>
        <v/>
      </c>
      <c r="F670" s="16"/>
      <c r="G670" s="13"/>
      <c r="H670" s="6"/>
      <c r="I670" s="6"/>
      <c r="J670" s="11" t="str">
        <f t="shared" si="52"/>
        <v/>
      </c>
      <c r="K670" s="17" t="str">
        <f t="shared" si="53"/>
        <v/>
      </c>
      <c r="L670" s="18" t="str">
        <f t="shared" si="54"/>
        <v/>
      </c>
      <c r="M670" s="18" t="str">
        <f>IF(J670&lt;&gt;-1,"",ROUND(F670*IFERROR(INDEX(Stocuri!$G$5:$G$204,MATCH(D670,Coduri,0)),0),2))</f>
        <v/>
      </c>
      <c r="N670" s="19" t="str">
        <f t="shared" si="55"/>
        <v/>
      </c>
    </row>
    <row r="671" spans="2:14" x14ac:dyDescent="0.2">
      <c r="B671" s="15"/>
      <c r="C671" s="6"/>
      <c r="D671" s="12"/>
      <c r="E671" s="10" t="str">
        <f t="shared" si="51"/>
        <v/>
      </c>
      <c r="F671" s="16"/>
      <c r="G671" s="13"/>
      <c r="H671" s="6"/>
      <c r="I671" s="6"/>
      <c r="J671" s="11" t="str">
        <f t="shared" si="52"/>
        <v/>
      </c>
      <c r="K671" s="17" t="str">
        <f t="shared" si="53"/>
        <v/>
      </c>
      <c r="L671" s="18" t="str">
        <f t="shared" si="54"/>
        <v/>
      </c>
      <c r="M671" s="18" t="str">
        <f>IF(J671&lt;&gt;-1,"",ROUND(F671*IFERROR(INDEX(Stocuri!$G$5:$G$204,MATCH(D671,Coduri,0)),0),2))</f>
        <v/>
      </c>
      <c r="N671" s="19" t="str">
        <f t="shared" si="55"/>
        <v/>
      </c>
    </row>
    <row r="672" spans="2:14" x14ac:dyDescent="0.2">
      <c r="B672" s="15"/>
      <c r="C672" s="6"/>
      <c r="D672" s="12"/>
      <c r="E672" s="10" t="str">
        <f t="shared" si="51"/>
        <v/>
      </c>
      <c r="F672" s="16"/>
      <c r="G672" s="13"/>
      <c r="H672" s="6"/>
      <c r="I672" s="6"/>
      <c r="J672" s="11" t="str">
        <f t="shared" si="52"/>
        <v/>
      </c>
      <c r="K672" s="17" t="str">
        <f t="shared" si="53"/>
        <v/>
      </c>
      <c r="L672" s="18" t="str">
        <f t="shared" si="54"/>
        <v/>
      </c>
      <c r="M672" s="18" t="str">
        <f>IF(J672&lt;&gt;-1,"",ROUND(F672*IFERROR(INDEX(Stocuri!$G$5:$G$204,MATCH(D672,Coduri,0)),0),2))</f>
        <v/>
      </c>
      <c r="N672" s="19" t="str">
        <f t="shared" si="55"/>
        <v/>
      </c>
    </row>
    <row r="673" spans="2:14" x14ac:dyDescent="0.2">
      <c r="B673" s="15"/>
      <c r="C673" s="6"/>
      <c r="D673" s="12"/>
      <c r="E673" s="10" t="str">
        <f t="shared" si="51"/>
        <v/>
      </c>
      <c r="F673" s="16"/>
      <c r="G673" s="13"/>
      <c r="H673" s="6"/>
      <c r="I673" s="6"/>
      <c r="J673" s="11" t="str">
        <f t="shared" si="52"/>
        <v/>
      </c>
      <c r="K673" s="17" t="str">
        <f t="shared" si="53"/>
        <v/>
      </c>
      <c r="L673" s="18" t="str">
        <f t="shared" si="54"/>
        <v/>
      </c>
      <c r="M673" s="18" t="str">
        <f>IF(J673&lt;&gt;-1,"",ROUND(F673*IFERROR(INDEX(Stocuri!$G$5:$G$204,MATCH(D673,Coduri,0)),0),2))</f>
        <v/>
      </c>
      <c r="N673" s="19" t="str">
        <f t="shared" si="55"/>
        <v/>
      </c>
    </row>
    <row r="674" spans="2:14" x14ac:dyDescent="0.2">
      <c r="B674" s="15"/>
      <c r="C674" s="6"/>
      <c r="D674" s="12"/>
      <c r="E674" s="10" t="str">
        <f t="shared" si="51"/>
        <v/>
      </c>
      <c r="F674" s="16"/>
      <c r="G674" s="13"/>
      <c r="H674" s="6"/>
      <c r="I674" s="6"/>
      <c r="J674" s="11" t="str">
        <f t="shared" si="52"/>
        <v/>
      </c>
      <c r="K674" s="17" t="str">
        <f t="shared" si="53"/>
        <v/>
      </c>
      <c r="L674" s="18" t="str">
        <f t="shared" si="54"/>
        <v/>
      </c>
      <c r="M674" s="18" t="str">
        <f>IF(J674&lt;&gt;-1,"",ROUND(F674*IFERROR(INDEX(Stocuri!$G$5:$G$204,MATCH(D674,Coduri,0)),0),2))</f>
        <v/>
      </c>
      <c r="N674" s="19" t="str">
        <f t="shared" si="55"/>
        <v/>
      </c>
    </row>
    <row r="675" spans="2:14" x14ac:dyDescent="0.2">
      <c r="B675" s="15"/>
      <c r="C675" s="6"/>
      <c r="D675" s="12"/>
      <c r="E675" s="10" t="str">
        <f t="shared" si="51"/>
        <v/>
      </c>
      <c r="F675" s="16"/>
      <c r="G675" s="13"/>
      <c r="H675" s="6"/>
      <c r="I675" s="6"/>
      <c r="J675" s="11" t="str">
        <f t="shared" si="52"/>
        <v/>
      </c>
      <c r="K675" s="17" t="str">
        <f t="shared" si="53"/>
        <v/>
      </c>
      <c r="L675" s="18" t="str">
        <f t="shared" si="54"/>
        <v/>
      </c>
      <c r="M675" s="18" t="str">
        <f>IF(J675&lt;&gt;-1,"",ROUND(F675*IFERROR(INDEX(Stocuri!$G$5:$G$204,MATCH(D675,Coduri,0)),0),2))</f>
        <v/>
      </c>
      <c r="N675" s="19" t="str">
        <f t="shared" si="55"/>
        <v/>
      </c>
    </row>
    <row r="676" spans="2:14" x14ac:dyDescent="0.2">
      <c r="B676" s="15"/>
      <c r="C676" s="6"/>
      <c r="D676" s="12"/>
      <c r="E676" s="10" t="str">
        <f t="shared" si="51"/>
        <v/>
      </c>
      <c r="F676" s="16"/>
      <c r="G676" s="13"/>
      <c r="H676" s="6"/>
      <c r="I676" s="6"/>
      <c r="J676" s="11" t="str">
        <f t="shared" si="52"/>
        <v/>
      </c>
      <c r="K676" s="17" t="str">
        <f t="shared" si="53"/>
        <v/>
      </c>
      <c r="L676" s="18" t="str">
        <f t="shared" si="54"/>
        <v/>
      </c>
      <c r="M676" s="18" t="str">
        <f>IF(J676&lt;&gt;-1,"",ROUND(F676*IFERROR(INDEX(Stocuri!$G$5:$G$204,MATCH(D676,Coduri,0)),0),2))</f>
        <v/>
      </c>
      <c r="N676" s="19" t="str">
        <f t="shared" si="55"/>
        <v/>
      </c>
    </row>
    <row r="677" spans="2:14" x14ac:dyDescent="0.2">
      <c r="B677" s="15"/>
      <c r="C677" s="6"/>
      <c r="D677" s="12"/>
      <c r="E677" s="10" t="str">
        <f t="shared" si="51"/>
        <v/>
      </c>
      <c r="F677" s="16"/>
      <c r="G677" s="13"/>
      <c r="H677" s="6"/>
      <c r="I677" s="6"/>
      <c r="J677" s="11" t="str">
        <f t="shared" si="52"/>
        <v/>
      </c>
      <c r="K677" s="17" t="str">
        <f t="shared" si="53"/>
        <v/>
      </c>
      <c r="L677" s="18" t="str">
        <f t="shared" si="54"/>
        <v/>
      </c>
      <c r="M677" s="18" t="str">
        <f>IF(J677&lt;&gt;-1,"",ROUND(F677*IFERROR(INDEX(Stocuri!$G$5:$G$204,MATCH(D677,Coduri,0)),0),2))</f>
        <v/>
      </c>
      <c r="N677" s="19" t="str">
        <f t="shared" si="55"/>
        <v/>
      </c>
    </row>
    <row r="678" spans="2:14" x14ac:dyDescent="0.2">
      <c r="B678" s="15"/>
      <c r="C678" s="6"/>
      <c r="D678" s="12"/>
      <c r="E678" s="10" t="str">
        <f t="shared" si="51"/>
        <v/>
      </c>
      <c r="F678" s="16"/>
      <c r="G678" s="13"/>
      <c r="H678" s="6"/>
      <c r="I678" s="6"/>
      <c r="J678" s="11" t="str">
        <f t="shared" si="52"/>
        <v/>
      </c>
      <c r="K678" s="17" t="str">
        <f t="shared" si="53"/>
        <v/>
      </c>
      <c r="L678" s="18" t="str">
        <f t="shared" si="54"/>
        <v/>
      </c>
      <c r="M678" s="18" t="str">
        <f>IF(J678&lt;&gt;-1,"",ROUND(F678*IFERROR(INDEX(Stocuri!$G$5:$G$204,MATCH(D678,Coduri,0)),0),2))</f>
        <v/>
      </c>
      <c r="N678" s="19" t="str">
        <f t="shared" si="55"/>
        <v/>
      </c>
    </row>
    <row r="679" spans="2:14" x14ac:dyDescent="0.2">
      <c r="B679" s="15"/>
      <c r="C679" s="6"/>
      <c r="D679" s="12"/>
      <c r="E679" s="10" t="str">
        <f t="shared" si="51"/>
        <v/>
      </c>
      <c r="F679" s="16"/>
      <c r="G679" s="13"/>
      <c r="H679" s="6"/>
      <c r="I679" s="6"/>
      <c r="J679" s="11" t="str">
        <f t="shared" si="52"/>
        <v/>
      </c>
      <c r="K679" s="17" t="str">
        <f t="shared" si="53"/>
        <v/>
      </c>
      <c r="L679" s="18" t="str">
        <f t="shared" si="54"/>
        <v/>
      </c>
      <c r="M679" s="18" t="str">
        <f>IF(J679&lt;&gt;-1,"",ROUND(F679*IFERROR(INDEX(Stocuri!$G$5:$G$204,MATCH(D679,Coduri,0)),0),2))</f>
        <v/>
      </c>
      <c r="N679" s="19" t="str">
        <f t="shared" si="55"/>
        <v/>
      </c>
    </row>
    <row r="680" spans="2:14" x14ac:dyDescent="0.2">
      <c r="B680" s="15"/>
      <c r="C680" s="6"/>
      <c r="D680" s="12"/>
      <c r="E680" s="10" t="str">
        <f t="shared" si="51"/>
        <v/>
      </c>
      <c r="F680" s="16"/>
      <c r="G680" s="13"/>
      <c r="H680" s="6"/>
      <c r="I680" s="6"/>
      <c r="J680" s="11" t="str">
        <f t="shared" si="52"/>
        <v/>
      </c>
      <c r="K680" s="17" t="str">
        <f t="shared" si="53"/>
        <v/>
      </c>
      <c r="L680" s="18" t="str">
        <f t="shared" si="54"/>
        <v/>
      </c>
      <c r="M680" s="18" t="str">
        <f>IF(J680&lt;&gt;-1,"",ROUND(F680*IFERROR(INDEX(Stocuri!$G$5:$G$204,MATCH(D680,Coduri,0)),0),2))</f>
        <v/>
      </c>
      <c r="N680" s="19" t="str">
        <f t="shared" si="55"/>
        <v/>
      </c>
    </row>
    <row r="681" spans="2:14" x14ac:dyDescent="0.2">
      <c r="B681" s="15"/>
      <c r="C681" s="6"/>
      <c r="D681" s="12"/>
      <c r="E681" s="10" t="str">
        <f t="shared" si="51"/>
        <v/>
      </c>
      <c r="F681" s="16"/>
      <c r="G681" s="13"/>
      <c r="H681" s="6"/>
      <c r="I681" s="6"/>
      <c r="J681" s="11" t="str">
        <f t="shared" si="52"/>
        <v/>
      </c>
      <c r="K681" s="17" t="str">
        <f t="shared" si="53"/>
        <v/>
      </c>
      <c r="L681" s="18" t="str">
        <f t="shared" si="54"/>
        <v/>
      </c>
      <c r="M681" s="18" t="str">
        <f>IF(J681&lt;&gt;-1,"",ROUND(F681*IFERROR(INDEX(Stocuri!$G$5:$G$204,MATCH(D681,Coduri,0)),0),2))</f>
        <v/>
      </c>
      <c r="N681" s="19" t="str">
        <f t="shared" si="55"/>
        <v/>
      </c>
    </row>
    <row r="682" spans="2:14" x14ac:dyDescent="0.2">
      <c r="B682" s="15"/>
      <c r="C682" s="6"/>
      <c r="D682" s="12"/>
      <c r="E682" s="10" t="str">
        <f t="shared" si="51"/>
        <v/>
      </c>
      <c r="F682" s="16"/>
      <c r="G682" s="13"/>
      <c r="H682" s="6"/>
      <c r="I682" s="6"/>
      <c r="J682" s="11" t="str">
        <f t="shared" si="52"/>
        <v/>
      </c>
      <c r="K682" s="17" t="str">
        <f t="shared" si="53"/>
        <v/>
      </c>
      <c r="L682" s="18" t="str">
        <f t="shared" si="54"/>
        <v/>
      </c>
      <c r="M682" s="18" t="str">
        <f>IF(J682&lt;&gt;-1,"",ROUND(F682*IFERROR(INDEX(Stocuri!$G$5:$G$204,MATCH(D682,Coduri,0)),0),2))</f>
        <v/>
      </c>
      <c r="N682" s="19" t="str">
        <f t="shared" si="55"/>
        <v/>
      </c>
    </row>
    <row r="683" spans="2:14" x14ac:dyDescent="0.2">
      <c r="B683" s="15"/>
      <c r="C683" s="6"/>
      <c r="D683" s="12"/>
      <c r="E683" s="10" t="str">
        <f t="shared" si="51"/>
        <v/>
      </c>
      <c r="F683" s="16"/>
      <c r="G683" s="13"/>
      <c r="H683" s="6"/>
      <c r="I683" s="6"/>
      <c r="J683" s="11" t="str">
        <f t="shared" si="52"/>
        <v/>
      </c>
      <c r="K683" s="17" t="str">
        <f t="shared" si="53"/>
        <v/>
      </c>
      <c r="L683" s="18" t="str">
        <f t="shared" si="54"/>
        <v/>
      </c>
      <c r="M683" s="18" t="str">
        <f>IF(J683&lt;&gt;-1,"",ROUND(F683*IFERROR(INDEX(Stocuri!$G$5:$G$204,MATCH(D683,Coduri,0)),0),2))</f>
        <v/>
      </c>
      <c r="N683" s="19" t="str">
        <f t="shared" si="55"/>
        <v/>
      </c>
    </row>
    <row r="684" spans="2:14" x14ac:dyDescent="0.2">
      <c r="B684" s="15"/>
      <c r="C684" s="6"/>
      <c r="D684" s="12"/>
      <c r="E684" s="10" t="str">
        <f t="shared" si="51"/>
        <v/>
      </c>
      <c r="F684" s="16"/>
      <c r="G684" s="13"/>
      <c r="H684" s="6"/>
      <c r="I684" s="6"/>
      <c r="J684" s="11" t="str">
        <f t="shared" si="52"/>
        <v/>
      </c>
      <c r="K684" s="17" t="str">
        <f t="shared" si="53"/>
        <v/>
      </c>
      <c r="L684" s="18" t="str">
        <f t="shared" si="54"/>
        <v/>
      </c>
      <c r="M684" s="18" t="str">
        <f>IF(J684&lt;&gt;-1,"",ROUND(F684*IFERROR(INDEX(Stocuri!$G$5:$G$204,MATCH(D684,Coduri,0)),0),2))</f>
        <v/>
      </c>
      <c r="N684" s="19" t="str">
        <f t="shared" si="55"/>
        <v/>
      </c>
    </row>
    <row r="685" spans="2:14" x14ac:dyDescent="0.2">
      <c r="B685" s="15"/>
      <c r="C685" s="6"/>
      <c r="D685" s="12"/>
      <c r="E685" s="10" t="str">
        <f t="shared" si="51"/>
        <v/>
      </c>
      <c r="F685" s="16"/>
      <c r="G685" s="13"/>
      <c r="H685" s="6"/>
      <c r="I685" s="6"/>
      <c r="J685" s="11" t="str">
        <f t="shared" si="52"/>
        <v/>
      </c>
      <c r="K685" s="17" t="str">
        <f t="shared" si="53"/>
        <v/>
      </c>
      <c r="L685" s="18" t="str">
        <f t="shared" si="54"/>
        <v/>
      </c>
      <c r="M685" s="18" t="str">
        <f>IF(J685&lt;&gt;-1,"",ROUND(F685*IFERROR(INDEX(Stocuri!$G$5:$G$204,MATCH(D685,Coduri,0)),0),2))</f>
        <v/>
      </c>
      <c r="N685" s="19" t="str">
        <f t="shared" si="55"/>
        <v/>
      </c>
    </row>
    <row r="686" spans="2:14" x14ac:dyDescent="0.2">
      <c r="B686" s="15"/>
      <c r="C686" s="6"/>
      <c r="D686" s="12"/>
      <c r="E686" s="10" t="str">
        <f t="shared" si="51"/>
        <v/>
      </c>
      <c r="F686" s="16"/>
      <c r="G686" s="13"/>
      <c r="H686" s="6"/>
      <c r="I686" s="6"/>
      <c r="J686" s="11" t="str">
        <f t="shared" si="52"/>
        <v/>
      </c>
      <c r="K686" s="17" t="str">
        <f t="shared" si="53"/>
        <v/>
      </c>
      <c r="L686" s="18" t="str">
        <f t="shared" si="54"/>
        <v/>
      </c>
      <c r="M686" s="18" t="str">
        <f>IF(J686&lt;&gt;-1,"",ROUND(F686*IFERROR(INDEX(Stocuri!$G$5:$G$204,MATCH(D686,Coduri,0)),0),2))</f>
        <v/>
      </c>
      <c r="N686" s="19" t="str">
        <f t="shared" si="55"/>
        <v/>
      </c>
    </row>
    <row r="687" spans="2:14" x14ac:dyDescent="0.2">
      <c r="B687" s="15"/>
      <c r="C687" s="6"/>
      <c r="D687" s="12"/>
      <c r="E687" s="10" t="str">
        <f t="shared" si="51"/>
        <v/>
      </c>
      <c r="F687" s="16"/>
      <c r="G687" s="13"/>
      <c r="H687" s="6"/>
      <c r="I687" s="6"/>
      <c r="J687" s="11" t="str">
        <f t="shared" si="52"/>
        <v/>
      </c>
      <c r="K687" s="17" t="str">
        <f t="shared" si="53"/>
        <v/>
      </c>
      <c r="L687" s="18" t="str">
        <f t="shared" si="54"/>
        <v/>
      </c>
      <c r="M687" s="18" t="str">
        <f>IF(J687&lt;&gt;-1,"",ROUND(F687*IFERROR(INDEX(Stocuri!$G$5:$G$204,MATCH(D687,Coduri,0)),0),2))</f>
        <v/>
      </c>
      <c r="N687" s="19" t="str">
        <f t="shared" si="55"/>
        <v/>
      </c>
    </row>
    <row r="688" spans="2:14" x14ac:dyDescent="0.2">
      <c r="B688" s="15"/>
      <c r="C688" s="6"/>
      <c r="D688" s="12"/>
      <c r="E688" s="10" t="str">
        <f t="shared" si="51"/>
        <v/>
      </c>
      <c r="F688" s="16"/>
      <c r="G688" s="13"/>
      <c r="H688" s="6"/>
      <c r="I688" s="6"/>
      <c r="J688" s="11" t="str">
        <f t="shared" si="52"/>
        <v/>
      </c>
      <c r="K688" s="17" t="str">
        <f t="shared" si="53"/>
        <v/>
      </c>
      <c r="L688" s="18" t="str">
        <f t="shared" si="54"/>
        <v/>
      </c>
      <c r="M688" s="18" t="str">
        <f>IF(J688&lt;&gt;-1,"",ROUND(F688*IFERROR(INDEX(Stocuri!$G$5:$G$204,MATCH(D688,Coduri,0)),0),2))</f>
        <v/>
      </c>
      <c r="N688" s="19" t="str">
        <f t="shared" si="55"/>
        <v/>
      </c>
    </row>
    <row r="689" spans="2:14" x14ac:dyDescent="0.2">
      <c r="B689" s="15"/>
      <c r="C689" s="6"/>
      <c r="D689" s="12"/>
      <c r="E689" s="10" t="str">
        <f t="shared" si="51"/>
        <v/>
      </c>
      <c r="F689" s="16"/>
      <c r="G689" s="13"/>
      <c r="H689" s="6"/>
      <c r="I689" s="6"/>
      <c r="J689" s="11" t="str">
        <f t="shared" si="52"/>
        <v/>
      </c>
      <c r="K689" s="17" t="str">
        <f t="shared" si="53"/>
        <v/>
      </c>
      <c r="L689" s="18" t="str">
        <f t="shared" si="54"/>
        <v/>
      </c>
      <c r="M689" s="18" t="str">
        <f>IF(J689&lt;&gt;-1,"",ROUND(F689*IFERROR(INDEX(Stocuri!$G$5:$G$204,MATCH(D689,Coduri,0)),0),2))</f>
        <v/>
      </c>
      <c r="N689" s="19" t="str">
        <f t="shared" si="55"/>
        <v/>
      </c>
    </row>
    <row r="690" spans="2:14" x14ac:dyDescent="0.2">
      <c r="B690" s="15"/>
      <c r="C690" s="6"/>
      <c r="D690" s="12"/>
      <c r="E690" s="10" t="str">
        <f t="shared" si="51"/>
        <v/>
      </c>
      <c r="F690" s="16"/>
      <c r="G690" s="13"/>
      <c r="H690" s="6"/>
      <c r="I690" s="6"/>
      <c r="J690" s="11" t="str">
        <f t="shared" si="52"/>
        <v/>
      </c>
      <c r="K690" s="17" t="str">
        <f t="shared" si="53"/>
        <v/>
      </c>
      <c r="L690" s="18" t="str">
        <f t="shared" si="54"/>
        <v/>
      </c>
      <c r="M690" s="18" t="str">
        <f>IF(J690&lt;&gt;-1,"",ROUND(F690*IFERROR(INDEX(Stocuri!$G$5:$G$204,MATCH(D690,Coduri,0)),0),2))</f>
        <v/>
      </c>
      <c r="N690" s="19" t="str">
        <f t="shared" si="55"/>
        <v/>
      </c>
    </row>
    <row r="691" spans="2:14" x14ac:dyDescent="0.2">
      <c r="B691" s="15"/>
      <c r="C691" s="6"/>
      <c r="D691" s="12"/>
      <c r="E691" s="10" t="str">
        <f t="shared" si="51"/>
        <v/>
      </c>
      <c r="F691" s="16"/>
      <c r="G691" s="13"/>
      <c r="H691" s="6"/>
      <c r="I691" s="6"/>
      <c r="J691" s="11" t="str">
        <f t="shared" si="52"/>
        <v/>
      </c>
      <c r="K691" s="17" t="str">
        <f t="shared" si="53"/>
        <v/>
      </c>
      <c r="L691" s="18" t="str">
        <f t="shared" si="54"/>
        <v/>
      </c>
      <c r="M691" s="18" t="str">
        <f>IF(J691&lt;&gt;-1,"",ROUND(F691*IFERROR(INDEX(Stocuri!$G$5:$G$204,MATCH(D691,Coduri,0)),0),2))</f>
        <v/>
      </c>
      <c r="N691" s="19" t="str">
        <f t="shared" si="55"/>
        <v/>
      </c>
    </row>
    <row r="692" spans="2:14" x14ac:dyDescent="0.2">
      <c r="B692" s="15"/>
      <c r="C692" s="6"/>
      <c r="D692" s="12"/>
      <c r="E692" s="10" t="str">
        <f t="shared" si="51"/>
        <v/>
      </c>
      <c r="F692" s="16"/>
      <c r="G692" s="13"/>
      <c r="H692" s="6"/>
      <c r="I692" s="6"/>
      <c r="J692" s="11" t="str">
        <f t="shared" si="52"/>
        <v/>
      </c>
      <c r="K692" s="17" t="str">
        <f t="shared" si="53"/>
        <v/>
      </c>
      <c r="L692" s="18" t="str">
        <f t="shared" si="54"/>
        <v/>
      </c>
      <c r="M692" s="18" t="str">
        <f>IF(J692&lt;&gt;-1,"",ROUND(F692*IFERROR(INDEX(Stocuri!$G$5:$G$204,MATCH(D692,Coduri,0)),0),2))</f>
        <v/>
      </c>
      <c r="N692" s="19" t="str">
        <f t="shared" si="55"/>
        <v/>
      </c>
    </row>
    <row r="693" spans="2:14" x14ac:dyDescent="0.2">
      <c r="B693" s="15"/>
      <c r="C693" s="6"/>
      <c r="D693" s="12"/>
      <c r="E693" s="10" t="str">
        <f t="shared" si="51"/>
        <v/>
      </c>
      <c r="F693" s="16"/>
      <c r="G693" s="13"/>
      <c r="H693" s="6"/>
      <c r="I693" s="6"/>
      <c r="J693" s="11" t="str">
        <f t="shared" si="52"/>
        <v/>
      </c>
      <c r="K693" s="17" t="str">
        <f t="shared" si="53"/>
        <v/>
      </c>
      <c r="L693" s="18" t="str">
        <f t="shared" si="54"/>
        <v/>
      </c>
      <c r="M693" s="18" t="str">
        <f>IF(J693&lt;&gt;-1,"",ROUND(F693*IFERROR(INDEX(Stocuri!$G$5:$G$204,MATCH(D693,Coduri,0)),0),2))</f>
        <v/>
      </c>
      <c r="N693" s="19" t="str">
        <f t="shared" si="55"/>
        <v/>
      </c>
    </row>
    <row r="694" spans="2:14" x14ac:dyDescent="0.2">
      <c r="B694" s="15"/>
      <c r="C694" s="6"/>
      <c r="D694" s="12"/>
      <c r="E694" s="10" t="str">
        <f t="shared" si="51"/>
        <v/>
      </c>
      <c r="F694" s="16"/>
      <c r="G694" s="13"/>
      <c r="H694" s="6"/>
      <c r="I694" s="6"/>
      <c r="J694" s="11" t="str">
        <f t="shared" si="52"/>
        <v/>
      </c>
      <c r="K694" s="17" t="str">
        <f t="shared" si="53"/>
        <v/>
      </c>
      <c r="L694" s="18" t="str">
        <f t="shared" si="54"/>
        <v/>
      </c>
      <c r="M694" s="18" t="str">
        <f>IF(J694&lt;&gt;-1,"",ROUND(F694*IFERROR(INDEX(Stocuri!$G$5:$G$204,MATCH(D694,Coduri,0)),0),2))</f>
        <v/>
      </c>
      <c r="N694" s="19" t="str">
        <f t="shared" si="55"/>
        <v/>
      </c>
    </row>
    <row r="695" spans="2:14" x14ac:dyDescent="0.2">
      <c r="B695" s="15"/>
      <c r="C695" s="6"/>
      <c r="D695" s="12"/>
      <c r="E695" s="10" t="str">
        <f t="shared" si="51"/>
        <v/>
      </c>
      <c r="F695" s="16"/>
      <c r="G695" s="13"/>
      <c r="H695" s="6"/>
      <c r="I695" s="6"/>
      <c r="J695" s="11" t="str">
        <f t="shared" si="52"/>
        <v/>
      </c>
      <c r="K695" s="17" t="str">
        <f t="shared" si="53"/>
        <v/>
      </c>
      <c r="L695" s="18" t="str">
        <f t="shared" si="54"/>
        <v/>
      </c>
      <c r="M695" s="18" t="str">
        <f>IF(J695&lt;&gt;-1,"",ROUND(F695*IFERROR(INDEX(Stocuri!$G$5:$G$204,MATCH(D695,Coduri,0)),0),2))</f>
        <v/>
      </c>
      <c r="N695" s="19" t="str">
        <f t="shared" si="55"/>
        <v/>
      </c>
    </row>
    <row r="696" spans="2:14" x14ac:dyDescent="0.2">
      <c r="B696" s="15"/>
      <c r="C696" s="6"/>
      <c r="D696" s="12"/>
      <c r="E696" s="10" t="str">
        <f t="shared" si="51"/>
        <v/>
      </c>
      <c r="F696" s="16"/>
      <c r="G696" s="13"/>
      <c r="H696" s="6"/>
      <c r="I696" s="6"/>
      <c r="J696" s="11" t="str">
        <f t="shared" si="52"/>
        <v/>
      </c>
      <c r="K696" s="17" t="str">
        <f t="shared" si="53"/>
        <v/>
      </c>
      <c r="L696" s="18" t="str">
        <f t="shared" si="54"/>
        <v/>
      </c>
      <c r="M696" s="18" t="str">
        <f>IF(J696&lt;&gt;-1,"",ROUND(F696*IFERROR(INDEX(Stocuri!$G$5:$G$204,MATCH(D696,Coduri,0)),0),2))</f>
        <v/>
      </c>
      <c r="N696" s="19" t="str">
        <f t="shared" si="55"/>
        <v/>
      </c>
    </row>
    <row r="697" spans="2:14" x14ac:dyDescent="0.2">
      <c r="B697" s="15"/>
      <c r="C697" s="6"/>
      <c r="D697" s="12"/>
      <c r="E697" s="10" t="str">
        <f t="shared" si="51"/>
        <v/>
      </c>
      <c r="F697" s="16"/>
      <c r="G697" s="13"/>
      <c r="H697" s="6"/>
      <c r="I697" s="6"/>
      <c r="J697" s="11" t="str">
        <f t="shared" si="52"/>
        <v/>
      </c>
      <c r="K697" s="17" t="str">
        <f t="shared" si="53"/>
        <v/>
      </c>
      <c r="L697" s="18" t="str">
        <f t="shared" si="54"/>
        <v/>
      </c>
      <c r="M697" s="18" t="str">
        <f>IF(J697&lt;&gt;-1,"",ROUND(F697*IFERROR(INDEX(Stocuri!$G$5:$G$204,MATCH(D697,Coduri,0)),0),2))</f>
        <v/>
      </c>
      <c r="N697" s="19" t="str">
        <f t="shared" si="55"/>
        <v/>
      </c>
    </row>
    <row r="698" spans="2:14" x14ac:dyDescent="0.2">
      <c r="B698" s="15"/>
      <c r="C698" s="6"/>
      <c r="D698" s="12"/>
      <c r="E698" s="10" t="str">
        <f t="shared" si="51"/>
        <v/>
      </c>
      <c r="F698" s="16"/>
      <c r="G698" s="13"/>
      <c r="H698" s="6"/>
      <c r="I698" s="6"/>
      <c r="J698" s="11" t="str">
        <f t="shared" si="52"/>
        <v/>
      </c>
      <c r="K698" s="17" t="str">
        <f t="shared" si="53"/>
        <v/>
      </c>
      <c r="L698" s="18" t="str">
        <f t="shared" si="54"/>
        <v/>
      </c>
      <c r="M698" s="18" t="str">
        <f>IF(J698&lt;&gt;-1,"",ROUND(F698*IFERROR(INDEX(Stocuri!$G$5:$G$204,MATCH(D698,Coduri,0)),0),2))</f>
        <v/>
      </c>
      <c r="N698" s="19" t="str">
        <f t="shared" si="55"/>
        <v/>
      </c>
    </row>
    <row r="699" spans="2:14" x14ac:dyDescent="0.2">
      <c r="B699" s="15"/>
      <c r="C699" s="6"/>
      <c r="D699" s="12"/>
      <c r="E699" s="10" t="str">
        <f t="shared" si="51"/>
        <v/>
      </c>
      <c r="F699" s="16"/>
      <c r="G699" s="13"/>
      <c r="H699" s="6"/>
      <c r="I699" s="6"/>
      <c r="J699" s="11" t="str">
        <f t="shared" si="52"/>
        <v/>
      </c>
      <c r="K699" s="17" t="str">
        <f t="shared" si="53"/>
        <v/>
      </c>
      <c r="L699" s="18" t="str">
        <f t="shared" si="54"/>
        <v/>
      </c>
      <c r="M699" s="18" t="str">
        <f>IF(J699&lt;&gt;-1,"",ROUND(F699*IFERROR(INDEX(Stocuri!$G$5:$G$204,MATCH(D699,Coduri,0)),0),2))</f>
        <v/>
      </c>
      <c r="N699" s="19" t="str">
        <f t="shared" si="55"/>
        <v/>
      </c>
    </row>
    <row r="700" spans="2:14" x14ac:dyDescent="0.2">
      <c r="B700" s="15"/>
      <c r="C700" s="6"/>
      <c r="D700" s="12"/>
      <c r="E700" s="10" t="str">
        <f t="shared" si="51"/>
        <v/>
      </c>
      <c r="F700" s="16"/>
      <c r="G700" s="13"/>
      <c r="H700" s="6"/>
      <c r="I700" s="6"/>
      <c r="J700" s="11" t="str">
        <f t="shared" si="52"/>
        <v/>
      </c>
      <c r="K700" s="17" t="str">
        <f t="shared" si="53"/>
        <v/>
      </c>
      <c r="L700" s="18" t="str">
        <f t="shared" si="54"/>
        <v/>
      </c>
      <c r="M700" s="18" t="str">
        <f>IF(J700&lt;&gt;-1,"",ROUND(F700*IFERROR(INDEX(Stocuri!$G$5:$G$204,MATCH(D700,Coduri,0)),0),2))</f>
        <v/>
      </c>
      <c r="N700" s="19" t="str">
        <f t="shared" si="55"/>
        <v/>
      </c>
    </row>
    <row r="701" spans="2:14" x14ac:dyDescent="0.2">
      <c r="B701" s="15"/>
      <c r="C701" s="6"/>
      <c r="D701" s="12"/>
      <c r="E701" s="10" t="str">
        <f t="shared" si="51"/>
        <v/>
      </c>
      <c r="F701" s="16"/>
      <c r="G701" s="13"/>
      <c r="H701" s="6"/>
      <c r="I701" s="6"/>
      <c r="J701" s="11" t="str">
        <f t="shared" si="52"/>
        <v/>
      </c>
      <c r="K701" s="17" t="str">
        <f t="shared" si="53"/>
        <v/>
      </c>
      <c r="L701" s="18" t="str">
        <f t="shared" si="54"/>
        <v/>
      </c>
      <c r="M701" s="18" t="str">
        <f>IF(J701&lt;&gt;-1,"",ROUND(F701*IFERROR(INDEX(Stocuri!$G$5:$G$204,MATCH(D701,Coduri,0)),0),2))</f>
        <v/>
      </c>
      <c r="N701" s="19" t="str">
        <f t="shared" si="55"/>
        <v/>
      </c>
    </row>
    <row r="702" spans="2:14" x14ac:dyDescent="0.2">
      <c r="B702" s="15"/>
      <c r="C702" s="6"/>
      <c r="D702" s="12"/>
      <c r="E702" s="10" t="str">
        <f t="shared" si="51"/>
        <v/>
      </c>
      <c r="F702" s="16"/>
      <c r="G702" s="13"/>
      <c r="H702" s="6"/>
      <c r="I702" s="6"/>
      <c r="J702" s="11" t="str">
        <f t="shared" si="52"/>
        <v/>
      </c>
      <c r="K702" s="17" t="str">
        <f t="shared" si="53"/>
        <v/>
      </c>
      <c r="L702" s="18" t="str">
        <f t="shared" si="54"/>
        <v/>
      </c>
      <c r="M702" s="18" t="str">
        <f>IF(J702&lt;&gt;-1,"",ROUND(F702*IFERROR(INDEX(Stocuri!$G$5:$G$204,MATCH(D702,Coduri,0)),0),2))</f>
        <v/>
      </c>
      <c r="N702" s="19" t="str">
        <f t="shared" si="55"/>
        <v/>
      </c>
    </row>
    <row r="703" spans="2:14" x14ac:dyDescent="0.2">
      <c r="B703" s="15"/>
      <c r="C703" s="6"/>
      <c r="D703" s="12"/>
      <c r="E703" s="10" t="str">
        <f t="shared" si="51"/>
        <v/>
      </c>
      <c r="F703" s="16"/>
      <c r="G703" s="13"/>
      <c r="H703" s="6"/>
      <c r="I703" s="6"/>
      <c r="J703" s="11" t="str">
        <f t="shared" si="52"/>
        <v/>
      </c>
      <c r="K703" s="17" t="str">
        <f t="shared" si="53"/>
        <v/>
      </c>
      <c r="L703" s="18" t="str">
        <f t="shared" si="54"/>
        <v/>
      </c>
      <c r="M703" s="18" t="str">
        <f>IF(J703&lt;&gt;-1,"",ROUND(F703*IFERROR(INDEX(Stocuri!$G$5:$G$204,MATCH(D703,Coduri,0)),0),2))</f>
        <v/>
      </c>
      <c r="N703" s="19" t="str">
        <f t="shared" si="55"/>
        <v/>
      </c>
    </row>
    <row r="704" spans="2:14" x14ac:dyDescent="0.2">
      <c r="B704" s="15"/>
      <c r="C704" s="6"/>
      <c r="D704" s="12"/>
      <c r="E704" s="10" t="str">
        <f t="shared" si="51"/>
        <v/>
      </c>
      <c r="F704" s="16"/>
      <c r="G704" s="13"/>
      <c r="H704" s="6"/>
      <c r="I704" s="6"/>
      <c r="J704" s="11" t="str">
        <f t="shared" si="52"/>
        <v/>
      </c>
      <c r="K704" s="17" t="str">
        <f t="shared" si="53"/>
        <v/>
      </c>
      <c r="L704" s="18" t="str">
        <f t="shared" si="54"/>
        <v/>
      </c>
      <c r="M704" s="18" t="str">
        <f>IF(J704&lt;&gt;-1,"",ROUND(F704*IFERROR(INDEX(Stocuri!$G$5:$G$204,MATCH(D704,Coduri,0)),0),2))</f>
        <v/>
      </c>
      <c r="N704" s="19" t="str">
        <f t="shared" si="55"/>
        <v/>
      </c>
    </row>
    <row r="705" spans="2:14" x14ac:dyDescent="0.2">
      <c r="B705" s="15"/>
      <c r="C705" s="6"/>
      <c r="D705" s="12"/>
      <c r="E705" s="10" t="str">
        <f t="shared" si="51"/>
        <v/>
      </c>
      <c r="F705" s="16"/>
      <c r="G705" s="13"/>
      <c r="H705" s="6"/>
      <c r="I705" s="6"/>
      <c r="J705" s="11" t="str">
        <f t="shared" si="52"/>
        <v/>
      </c>
      <c r="K705" s="17" t="str">
        <f t="shared" si="53"/>
        <v/>
      </c>
      <c r="L705" s="18" t="str">
        <f t="shared" si="54"/>
        <v/>
      </c>
      <c r="M705" s="18" t="str">
        <f>IF(J705&lt;&gt;-1,"",ROUND(F705*IFERROR(INDEX(Stocuri!$G$5:$G$204,MATCH(D705,Coduri,0)),0),2))</f>
        <v/>
      </c>
      <c r="N705" s="19" t="str">
        <f t="shared" si="55"/>
        <v/>
      </c>
    </row>
    <row r="706" spans="2:14" x14ac:dyDescent="0.2">
      <c r="B706" s="15"/>
      <c r="C706" s="6"/>
      <c r="D706" s="12"/>
      <c r="E706" s="10" t="str">
        <f t="shared" si="51"/>
        <v/>
      </c>
      <c r="F706" s="16"/>
      <c r="G706" s="13"/>
      <c r="H706" s="6"/>
      <c r="I706" s="6"/>
      <c r="J706" s="11" t="str">
        <f t="shared" si="52"/>
        <v/>
      </c>
      <c r="K706" s="17" t="str">
        <f t="shared" si="53"/>
        <v/>
      </c>
      <c r="L706" s="18" t="str">
        <f t="shared" si="54"/>
        <v/>
      </c>
      <c r="M706" s="18" t="str">
        <f>IF(J706&lt;&gt;-1,"",ROUND(F706*IFERROR(INDEX(Stocuri!$G$5:$G$204,MATCH(D706,Coduri,0)),0),2))</f>
        <v/>
      </c>
      <c r="N706" s="19" t="str">
        <f t="shared" si="55"/>
        <v/>
      </c>
    </row>
    <row r="707" spans="2:14" x14ac:dyDescent="0.2">
      <c r="B707" s="15"/>
      <c r="C707" s="6"/>
      <c r="D707" s="12"/>
      <c r="E707" s="10" t="str">
        <f t="shared" si="51"/>
        <v/>
      </c>
      <c r="F707" s="16"/>
      <c r="G707" s="13"/>
      <c r="H707" s="6"/>
      <c r="I707" s="6"/>
      <c r="J707" s="11" t="str">
        <f t="shared" si="52"/>
        <v/>
      </c>
      <c r="K707" s="17" t="str">
        <f t="shared" si="53"/>
        <v/>
      </c>
      <c r="L707" s="18" t="str">
        <f t="shared" si="54"/>
        <v/>
      </c>
      <c r="M707" s="18" t="str">
        <f>IF(J707&lt;&gt;-1,"",ROUND(F707*IFERROR(INDEX(Stocuri!$G$5:$G$204,MATCH(D707,Coduri,0)),0),2))</f>
        <v/>
      </c>
      <c r="N707" s="19" t="str">
        <f t="shared" si="55"/>
        <v/>
      </c>
    </row>
    <row r="708" spans="2:14" x14ac:dyDescent="0.2">
      <c r="B708" s="15"/>
      <c r="C708" s="6"/>
      <c r="D708" s="12"/>
      <c r="E708" s="10" t="str">
        <f t="shared" si="51"/>
        <v/>
      </c>
      <c r="F708" s="16"/>
      <c r="G708" s="13"/>
      <c r="H708" s="6"/>
      <c r="I708" s="6"/>
      <c r="J708" s="11" t="str">
        <f t="shared" si="52"/>
        <v/>
      </c>
      <c r="K708" s="17" t="str">
        <f t="shared" si="53"/>
        <v/>
      </c>
      <c r="L708" s="18" t="str">
        <f t="shared" si="54"/>
        <v/>
      </c>
      <c r="M708" s="18" t="str">
        <f>IF(J708&lt;&gt;-1,"",ROUND(F708*IFERROR(INDEX(Stocuri!$G$5:$G$204,MATCH(D708,Coduri,0)),0),2))</f>
        <v/>
      </c>
      <c r="N708" s="19" t="str">
        <f t="shared" si="55"/>
        <v/>
      </c>
    </row>
    <row r="709" spans="2:14" x14ac:dyDescent="0.2">
      <c r="B709" s="15"/>
      <c r="C709" s="6"/>
      <c r="D709" s="12"/>
      <c r="E709" s="10" t="str">
        <f t="shared" ref="E709:E772" si="56">IF(D709="","",IFERROR(VLOOKUP(D709,Catalog,2,FALSE),""))</f>
        <v/>
      </c>
      <c r="F709" s="16"/>
      <c r="G709" s="13"/>
      <c r="H709" s="6"/>
      <c r="I709" s="6"/>
      <c r="J709" s="11" t="str">
        <f t="shared" ref="J709:J772" si="57">IF(C709="","",IFERROR(VLOOKUP(C709,TipSemn,2,FALSE),""))</f>
        <v/>
      </c>
      <c r="K709" s="17" t="str">
        <f t="shared" ref="K709:K772" si="58">IF(OR(J709="",F709=""),"",J709*F709)</f>
        <v/>
      </c>
      <c r="L709" s="18" t="str">
        <f t="shared" ref="L709:L772" si="59">IF(OR(J709&lt;&gt;1,G709=""),"",ROUND(F709*G709,2))</f>
        <v/>
      </c>
      <c r="M709" s="18" t="str">
        <f>IF(J709&lt;&gt;-1,"",ROUND(F709*IFERROR(INDEX(Stocuri!$G$5:$G$204,MATCH(D709,Coduri,0)),0),2))</f>
        <v/>
      </c>
      <c r="N709" s="19" t="str">
        <f t="shared" ref="N709:N772" si="60">IF(AND(B709="",D709=""),"",TRIM(IF(OR(B709="",C709="",D709="",F709=""),"Date incomplete. ","")&amp;IF(AND(D709&lt;&gt;"",E709=""),"Cod necunoscut. ","")&amp;IF(AND(J709=1,C709&lt;&gt;"Retur de la client",C709&lt;&gt;"Ajustare inventar +",G709=""),"Lipsește prețul de intrare. ","")&amp;IF(AND(J709=-1,D709&lt;&gt;"",SUMIFS($K$5:$K$2004,$D$5:$D$2004,D709,$B$5:$B$2004,"&lt;="&amp;B709)&lt;0),"Stoc insuficient la această dată. ","")&amp;IF(AND(C709&lt;&gt;"Stoc inițial",H709=""),"Lipsește documentul. ","")))</f>
        <v/>
      </c>
    </row>
    <row r="710" spans="2:14" x14ac:dyDescent="0.2">
      <c r="B710" s="15"/>
      <c r="C710" s="6"/>
      <c r="D710" s="12"/>
      <c r="E710" s="10" t="str">
        <f t="shared" si="56"/>
        <v/>
      </c>
      <c r="F710" s="16"/>
      <c r="G710" s="13"/>
      <c r="H710" s="6"/>
      <c r="I710" s="6"/>
      <c r="J710" s="11" t="str">
        <f t="shared" si="57"/>
        <v/>
      </c>
      <c r="K710" s="17" t="str">
        <f t="shared" si="58"/>
        <v/>
      </c>
      <c r="L710" s="18" t="str">
        <f t="shared" si="59"/>
        <v/>
      </c>
      <c r="M710" s="18" t="str">
        <f>IF(J710&lt;&gt;-1,"",ROUND(F710*IFERROR(INDEX(Stocuri!$G$5:$G$204,MATCH(D710,Coduri,0)),0),2))</f>
        <v/>
      </c>
      <c r="N710" s="19" t="str">
        <f t="shared" si="60"/>
        <v/>
      </c>
    </row>
    <row r="711" spans="2:14" x14ac:dyDescent="0.2">
      <c r="B711" s="15"/>
      <c r="C711" s="6"/>
      <c r="D711" s="12"/>
      <c r="E711" s="10" t="str">
        <f t="shared" si="56"/>
        <v/>
      </c>
      <c r="F711" s="16"/>
      <c r="G711" s="13"/>
      <c r="H711" s="6"/>
      <c r="I711" s="6"/>
      <c r="J711" s="11" t="str">
        <f t="shared" si="57"/>
        <v/>
      </c>
      <c r="K711" s="17" t="str">
        <f t="shared" si="58"/>
        <v/>
      </c>
      <c r="L711" s="18" t="str">
        <f t="shared" si="59"/>
        <v/>
      </c>
      <c r="M711" s="18" t="str">
        <f>IF(J711&lt;&gt;-1,"",ROUND(F711*IFERROR(INDEX(Stocuri!$G$5:$G$204,MATCH(D711,Coduri,0)),0),2))</f>
        <v/>
      </c>
      <c r="N711" s="19" t="str">
        <f t="shared" si="60"/>
        <v/>
      </c>
    </row>
    <row r="712" spans="2:14" x14ac:dyDescent="0.2">
      <c r="B712" s="15"/>
      <c r="C712" s="6"/>
      <c r="D712" s="12"/>
      <c r="E712" s="10" t="str">
        <f t="shared" si="56"/>
        <v/>
      </c>
      <c r="F712" s="16"/>
      <c r="G712" s="13"/>
      <c r="H712" s="6"/>
      <c r="I712" s="6"/>
      <c r="J712" s="11" t="str">
        <f t="shared" si="57"/>
        <v/>
      </c>
      <c r="K712" s="17" t="str">
        <f t="shared" si="58"/>
        <v/>
      </c>
      <c r="L712" s="18" t="str">
        <f t="shared" si="59"/>
        <v/>
      </c>
      <c r="M712" s="18" t="str">
        <f>IF(J712&lt;&gt;-1,"",ROUND(F712*IFERROR(INDEX(Stocuri!$G$5:$G$204,MATCH(D712,Coduri,0)),0),2))</f>
        <v/>
      </c>
      <c r="N712" s="19" t="str">
        <f t="shared" si="60"/>
        <v/>
      </c>
    </row>
    <row r="713" spans="2:14" x14ac:dyDescent="0.2">
      <c r="B713" s="15"/>
      <c r="C713" s="6"/>
      <c r="D713" s="12"/>
      <c r="E713" s="10" t="str">
        <f t="shared" si="56"/>
        <v/>
      </c>
      <c r="F713" s="16"/>
      <c r="G713" s="13"/>
      <c r="H713" s="6"/>
      <c r="I713" s="6"/>
      <c r="J713" s="11" t="str">
        <f t="shared" si="57"/>
        <v/>
      </c>
      <c r="K713" s="17" t="str">
        <f t="shared" si="58"/>
        <v/>
      </c>
      <c r="L713" s="18" t="str">
        <f t="shared" si="59"/>
        <v/>
      </c>
      <c r="M713" s="18" t="str">
        <f>IF(J713&lt;&gt;-1,"",ROUND(F713*IFERROR(INDEX(Stocuri!$G$5:$G$204,MATCH(D713,Coduri,0)),0),2))</f>
        <v/>
      </c>
      <c r="N713" s="19" t="str">
        <f t="shared" si="60"/>
        <v/>
      </c>
    </row>
    <row r="714" spans="2:14" x14ac:dyDescent="0.2">
      <c r="B714" s="15"/>
      <c r="C714" s="6"/>
      <c r="D714" s="12"/>
      <c r="E714" s="10" t="str">
        <f t="shared" si="56"/>
        <v/>
      </c>
      <c r="F714" s="16"/>
      <c r="G714" s="13"/>
      <c r="H714" s="6"/>
      <c r="I714" s="6"/>
      <c r="J714" s="11" t="str">
        <f t="shared" si="57"/>
        <v/>
      </c>
      <c r="K714" s="17" t="str">
        <f t="shared" si="58"/>
        <v/>
      </c>
      <c r="L714" s="18" t="str">
        <f t="shared" si="59"/>
        <v/>
      </c>
      <c r="M714" s="18" t="str">
        <f>IF(J714&lt;&gt;-1,"",ROUND(F714*IFERROR(INDEX(Stocuri!$G$5:$G$204,MATCH(D714,Coduri,0)),0),2))</f>
        <v/>
      </c>
      <c r="N714" s="19" t="str">
        <f t="shared" si="60"/>
        <v/>
      </c>
    </row>
    <row r="715" spans="2:14" x14ac:dyDescent="0.2">
      <c r="B715" s="15"/>
      <c r="C715" s="6"/>
      <c r="D715" s="12"/>
      <c r="E715" s="10" t="str">
        <f t="shared" si="56"/>
        <v/>
      </c>
      <c r="F715" s="16"/>
      <c r="G715" s="13"/>
      <c r="H715" s="6"/>
      <c r="I715" s="6"/>
      <c r="J715" s="11" t="str">
        <f t="shared" si="57"/>
        <v/>
      </c>
      <c r="K715" s="17" t="str">
        <f t="shared" si="58"/>
        <v/>
      </c>
      <c r="L715" s="18" t="str">
        <f t="shared" si="59"/>
        <v/>
      </c>
      <c r="M715" s="18" t="str">
        <f>IF(J715&lt;&gt;-1,"",ROUND(F715*IFERROR(INDEX(Stocuri!$G$5:$G$204,MATCH(D715,Coduri,0)),0),2))</f>
        <v/>
      </c>
      <c r="N715" s="19" t="str">
        <f t="shared" si="60"/>
        <v/>
      </c>
    </row>
    <row r="716" spans="2:14" x14ac:dyDescent="0.2">
      <c r="B716" s="15"/>
      <c r="C716" s="6"/>
      <c r="D716" s="12"/>
      <c r="E716" s="10" t="str">
        <f t="shared" si="56"/>
        <v/>
      </c>
      <c r="F716" s="16"/>
      <c r="G716" s="13"/>
      <c r="H716" s="6"/>
      <c r="I716" s="6"/>
      <c r="J716" s="11" t="str">
        <f t="shared" si="57"/>
        <v/>
      </c>
      <c r="K716" s="17" t="str">
        <f t="shared" si="58"/>
        <v/>
      </c>
      <c r="L716" s="18" t="str">
        <f t="shared" si="59"/>
        <v/>
      </c>
      <c r="M716" s="18" t="str">
        <f>IF(J716&lt;&gt;-1,"",ROUND(F716*IFERROR(INDEX(Stocuri!$G$5:$G$204,MATCH(D716,Coduri,0)),0),2))</f>
        <v/>
      </c>
      <c r="N716" s="19" t="str">
        <f t="shared" si="60"/>
        <v/>
      </c>
    </row>
    <row r="717" spans="2:14" x14ac:dyDescent="0.2">
      <c r="B717" s="15"/>
      <c r="C717" s="6"/>
      <c r="D717" s="12"/>
      <c r="E717" s="10" t="str">
        <f t="shared" si="56"/>
        <v/>
      </c>
      <c r="F717" s="16"/>
      <c r="G717" s="13"/>
      <c r="H717" s="6"/>
      <c r="I717" s="6"/>
      <c r="J717" s="11" t="str">
        <f t="shared" si="57"/>
        <v/>
      </c>
      <c r="K717" s="17" t="str">
        <f t="shared" si="58"/>
        <v/>
      </c>
      <c r="L717" s="18" t="str">
        <f t="shared" si="59"/>
        <v/>
      </c>
      <c r="M717" s="18" t="str">
        <f>IF(J717&lt;&gt;-1,"",ROUND(F717*IFERROR(INDEX(Stocuri!$G$5:$G$204,MATCH(D717,Coduri,0)),0),2))</f>
        <v/>
      </c>
      <c r="N717" s="19" t="str">
        <f t="shared" si="60"/>
        <v/>
      </c>
    </row>
    <row r="718" spans="2:14" x14ac:dyDescent="0.2">
      <c r="B718" s="15"/>
      <c r="C718" s="6"/>
      <c r="D718" s="12"/>
      <c r="E718" s="10" t="str">
        <f t="shared" si="56"/>
        <v/>
      </c>
      <c r="F718" s="16"/>
      <c r="G718" s="13"/>
      <c r="H718" s="6"/>
      <c r="I718" s="6"/>
      <c r="J718" s="11" t="str">
        <f t="shared" si="57"/>
        <v/>
      </c>
      <c r="K718" s="17" t="str">
        <f t="shared" si="58"/>
        <v/>
      </c>
      <c r="L718" s="18" t="str">
        <f t="shared" si="59"/>
        <v/>
      </c>
      <c r="M718" s="18" t="str">
        <f>IF(J718&lt;&gt;-1,"",ROUND(F718*IFERROR(INDEX(Stocuri!$G$5:$G$204,MATCH(D718,Coduri,0)),0),2))</f>
        <v/>
      </c>
      <c r="N718" s="19" t="str">
        <f t="shared" si="60"/>
        <v/>
      </c>
    </row>
    <row r="719" spans="2:14" x14ac:dyDescent="0.2">
      <c r="B719" s="15"/>
      <c r="C719" s="6"/>
      <c r="D719" s="12"/>
      <c r="E719" s="10" t="str">
        <f t="shared" si="56"/>
        <v/>
      </c>
      <c r="F719" s="16"/>
      <c r="G719" s="13"/>
      <c r="H719" s="6"/>
      <c r="I719" s="6"/>
      <c r="J719" s="11" t="str">
        <f t="shared" si="57"/>
        <v/>
      </c>
      <c r="K719" s="17" t="str">
        <f t="shared" si="58"/>
        <v/>
      </c>
      <c r="L719" s="18" t="str">
        <f t="shared" si="59"/>
        <v/>
      </c>
      <c r="M719" s="18" t="str">
        <f>IF(J719&lt;&gt;-1,"",ROUND(F719*IFERROR(INDEX(Stocuri!$G$5:$G$204,MATCH(D719,Coduri,0)),0),2))</f>
        <v/>
      </c>
      <c r="N719" s="19" t="str">
        <f t="shared" si="60"/>
        <v/>
      </c>
    </row>
    <row r="720" spans="2:14" x14ac:dyDescent="0.2">
      <c r="B720" s="15"/>
      <c r="C720" s="6"/>
      <c r="D720" s="12"/>
      <c r="E720" s="10" t="str">
        <f t="shared" si="56"/>
        <v/>
      </c>
      <c r="F720" s="16"/>
      <c r="G720" s="13"/>
      <c r="H720" s="6"/>
      <c r="I720" s="6"/>
      <c r="J720" s="11" t="str">
        <f t="shared" si="57"/>
        <v/>
      </c>
      <c r="K720" s="17" t="str">
        <f t="shared" si="58"/>
        <v/>
      </c>
      <c r="L720" s="18" t="str">
        <f t="shared" si="59"/>
        <v/>
      </c>
      <c r="M720" s="18" t="str">
        <f>IF(J720&lt;&gt;-1,"",ROUND(F720*IFERROR(INDEX(Stocuri!$G$5:$G$204,MATCH(D720,Coduri,0)),0),2))</f>
        <v/>
      </c>
      <c r="N720" s="19" t="str">
        <f t="shared" si="60"/>
        <v/>
      </c>
    </row>
    <row r="721" spans="2:14" x14ac:dyDescent="0.2">
      <c r="B721" s="15"/>
      <c r="C721" s="6"/>
      <c r="D721" s="12"/>
      <c r="E721" s="10" t="str">
        <f t="shared" si="56"/>
        <v/>
      </c>
      <c r="F721" s="16"/>
      <c r="G721" s="13"/>
      <c r="H721" s="6"/>
      <c r="I721" s="6"/>
      <c r="J721" s="11" t="str">
        <f t="shared" si="57"/>
        <v/>
      </c>
      <c r="K721" s="17" t="str">
        <f t="shared" si="58"/>
        <v/>
      </c>
      <c r="L721" s="18" t="str">
        <f t="shared" si="59"/>
        <v/>
      </c>
      <c r="M721" s="18" t="str">
        <f>IF(J721&lt;&gt;-1,"",ROUND(F721*IFERROR(INDEX(Stocuri!$G$5:$G$204,MATCH(D721,Coduri,0)),0),2))</f>
        <v/>
      </c>
      <c r="N721" s="19" t="str">
        <f t="shared" si="60"/>
        <v/>
      </c>
    </row>
    <row r="722" spans="2:14" x14ac:dyDescent="0.2">
      <c r="B722" s="15"/>
      <c r="C722" s="6"/>
      <c r="D722" s="12"/>
      <c r="E722" s="10" t="str">
        <f t="shared" si="56"/>
        <v/>
      </c>
      <c r="F722" s="16"/>
      <c r="G722" s="13"/>
      <c r="H722" s="6"/>
      <c r="I722" s="6"/>
      <c r="J722" s="11" t="str">
        <f t="shared" si="57"/>
        <v/>
      </c>
      <c r="K722" s="17" t="str">
        <f t="shared" si="58"/>
        <v/>
      </c>
      <c r="L722" s="18" t="str">
        <f t="shared" si="59"/>
        <v/>
      </c>
      <c r="M722" s="18" t="str">
        <f>IF(J722&lt;&gt;-1,"",ROUND(F722*IFERROR(INDEX(Stocuri!$G$5:$G$204,MATCH(D722,Coduri,0)),0),2))</f>
        <v/>
      </c>
      <c r="N722" s="19" t="str">
        <f t="shared" si="60"/>
        <v/>
      </c>
    </row>
    <row r="723" spans="2:14" x14ac:dyDescent="0.2">
      <c r="B723" s="15"/>
      <c r="C723" s="6"/>
      <c r="D723" s="12"/>
      <c r="E723" s="10" t="str">
        <f t="shared" si="56"/>
        <v/>
      </c>
      <c r="F723" s="16"/>
      <c r="G723" s="13"/>
      <c r="H723" s="6"/>
      <c r="I723" s="6"/>
      <c r="J723" s="11" t="str">
        <f t="shared" si="57"/>
        <v/>
      </c>
      <c r="K723" s="17" t="str">
        <f t="shared" si="58"/>
        <v/>
      </c>
      <c r="L723" s="18" t="str">
        <f t="shared" si="59"/>
        <v/>
      </c>
      <c r="M723" s="18" t="str">
        <f>IF(J723&lt;&gt;-1,"",ROUND(F723*IFERROR(INDEX(Stocuri!$G$5:$G$204,MATCH(D723,Coduri,0)),0),2))</f>
        <v/>
      </c>
      <c r="N723" s="19" t="str">
        <f t="shared" si="60"/>
        <v/>
      </c>
    </row>
    <row r="724" spans="2:14" x14ac:dyDescent="0.2">
      <c r="B724" s="15"/>
      <c r="C724" s="6"/>
      <c r="D724" s="12"/>
      <c r="E724" s="10" t="str">
        <f t="shared" si="56"/>
        <v/>
      </c>
      <c r="F724" s="16"/>
      <c r="G724" s="13"/>
      <c r="H724" s="6"/>
      <c r="I724" s="6"/>
      <c r="J724" s="11" t="str">
        <f t="shared" si="57"/>
        <v/>
      </c>
      <c r="K724" s="17" t="str">
        <f t="shared" si="58"/>
        <v/>
      </c>
      <c r="L724" s="18" t="str">
        <f t="shared" si="59"/>
        <v/>
      </c>
      <c r="M724" s="18" t="str">
        <f>IF(J724&lt;&gt;-1,"",ROUND(F724*IFERROR(INDEX(Stocuri!$G$5:$G$204,MATCH(D724,Coduri,0)),0),2))</f>
        <v/>
      </c>
      <c r="N724" s="19" t="str">
        <f t="shared" si="60"/>
        <v/>
      </c>
    </row>
    <row r="725" spans="2:14" x14ac:dyDescent="0.2">
      <c r="B725" s="15"/>
      <c r="C725" s="6"/>
      <c r="D725" s="12"/>
      <c r="E725" s="10" t="str">
        <f t="shared" si="56"/>
        <v/>
      </c>
      <c r="F725" s="16"/>
      <c r="G725" s="13"/>
      <c r="H725" s="6"/>
      <c r="I725" s="6"/>
      <c r="J725" s="11" t="str">
        <f t="shared" si="57"/>
        <v/>
      </c>
      <c r="K725" s="17" t="str">
        <f t="shared" si="58"/>
        <v/>
      </c>
      <c r="L725" s="18" t="str">
        <f t="shared" si="59"/>
        <v/>
      </c>
      <c r="M725" s="18" t="str">
        <f>IF(J725&lt;&gt;-1,"",ROUND(F725*IFERROR(INDEX(Stocuri!$G$5:$G$204,MATCH(D725,Coduri,0)),0),2))</f>
        <v/>
      </c>
      <c r="N725" s="19" t="str">
        <f t="shared" si="60"/>
        <v/>
      </c>
    </row>
    <row r="726" spans="2:14" x14ac:dyDescent="0.2">
      <c r="B726" s="15"/>
      <c r="C726" s="6"/>
      <c r="D726" s="12"/>
      <c r="E726" s="10" t="str">
        <f t="shared" si="56"/>
        <v/>
      </c>
      <c r="F726" s="16"/>
      <c r="G726" s="13"/>
      <c r="H726" s="6"/>
      <c r="I726" s="6"/>
      <c r="J726" s="11" t="str">
        <f t="shared" si="57"/>
        <v/>
      </c>
      <c r="K726" s="17" t="str">
        <f t="shared" si="58"/>
        <v/>
      </c>
      <c r="L726" s="18" t="str">
        <f t="shared" si="59"/>
        <v/>
      </c>
      <c r="M726" s="18" t="str">
        <f>IF(J726&lt;&gt;-1,"",ROUND(F726*IFERROR(INDEX(Stocuri!$G$5:$G$204,MATCH(D726,Coduri,0)),0),2))</f>
        <v/>
      </c>
      <c r="N726" s="19" t="str">
        <f t="shared" si="60"/>
        <v/>
      </c>
    </row>
    <row r="727" spans="2:14" x14ac:dyDescent="0.2">
      <c r="B727" s="15"/>
      <c r="C727" s="6"/>
      <c r="D727" s="12"/>
      <c r="E727" s="10" t="str">
        <f t="shared" si="56"/>
        <v/>
      </c>
      <c r="F727" s="16"/>
      <c r="G727" s="13"/>
      <c r="H727" s="6"/>
      <c r="I727" s="6"/>
      <c r="J727" s="11" t="str">
        <f t="shared" si="57"/>
        <v/>
      </c>
      <c r="K727" s="17" t="str">
        <f t="shared" si="58"/>
        <v/>
      </c>
      <c r="L727" s="18" t="str">
        <f t="shared" si="59"/>
        <v/>
      </c>
      <c r="M727" s="18" t="str">
        <f>IF(J727&lt;&gt;-1,"",ROUND(F727*IFERROR(INDEX(Stocuri!$G$5:$G$204,MATCH(D727,Coduri,0)),0),2))</f>
        <v/>
      </c>
      <c r="N727" s="19" t="str">
        <f t="shared" si="60"/>
        <v/>
      </c>
    </row>
    <row r="728" spans="2:14" x14ac:dyDescent="0.2">
      <c r="B728" s="15"/>
      <c r="C728" s="6"/>
      <c r="D728" s="12"/>
      <c r="E728" s="10" t="str">
        <f t="shared" si="56"/>
        <v/>
      </c>
      <c r="F728" s="16"/>
      <c r="G728" s="13"/>
      <c r="H728" s="6"/>
      <c r="I728" s="6"/>
      <c r="J728" s="11" t="str">
        <f t="shared" si="57"/>
        <v/>
      </c>
      <c r="K728" s="17" t="str">
        <f t="shared" si="58"/>
        <v/>
      </c>
      <c r="L728" s="18" t="str">
        <f t="shared" si="59"/>
        <v/>
      </c>
      <c r="M728" s="18" t="str">
        <f>IF(J728&lt;&gt;-1,"",ROUND(F728*IFERROR(INDEX(Stocuri!$G$5:$G$204,MATCH(D728,Coduri,0)),0),2))</f>
        <v/>
      </c>
      <c r="N728" s="19" t="str">
        <f t="shared" si="60"/>
        <v/>
      </c>
    </row>
    <row r="729" spans="2:14" x14ac:dyDescent="0.2">
      <c r="B729" s="15"/>
      <c r="C729" s="6"/>
      <c r="D729" s="12"/>
      <c r="E729" s="10" t="str">
        <f t="shared" si="56"/>
        <v/>
      </c>
      <c r="F729" s="16"/>
      <c r="G729" s="13"/>
      <c r="H729" s="6"/>
      <c r="I729" s="6"/>
      <c r="J729" s="11" t="str">
        <f t="shared" si="57"/>
        <v/>
      </c>
      <c r="K729" s="17" t="str">
        <f t="shared" si="58"/>
        <v/>
      </c>
      <c r="L729" s="18" t="str">
        <f t="shared" si="59"/>
        <v/>
      </c>
      <c r="M729" s="18" t="str">
        <f>IF(J729&lt;&gt;-1,"",ROUND(F729*IFERROR(INDEX(Stocuri!$G$5:$G$204,MATCH(D729,Coduri,0)),0),2))</f>
        <v/>
      </c>
      <c r="N729" s="19" t="str">
        <f t="shared" si="60"/>
        <v/>
      </c>
    </row>
    <row r="730" spans="2:14" x14ac:dyDescent="0.2">
      <c r="B730" s="15"/>
      <c r="C730" s="6"/>
      <c r="D730" s="12"/>
      <c r="E730" s="10" t="str">
        <f t="shared" si="56"/>
        <v/>
      </c>
      <c r="F730" s="16"/>
      <c r="G730" s="13"/>
      <c r="H730" s="6"/>
      <c r="I730" s="6"/>
      <c r="J730" s="11" t="str">
        <f t="shared" si="57"/>
        <v/>
      </c>
      <c r="K730" s="17" t="str">
        <f t="shared" si="58"/>
        <v/>
      </c>
      <c r="L730" s="18" t="str">
        <f t="shared" si="59"/>
        <v/>
      </c>
      <c r="M730" s="18" t="str">
        <f>IF(J730&lt;&gt;-1,"",ROUND(F730*IFERROR(INDEX(Stocuri!$G$5:$G$204,MATCH(D730,Coduri,0)),0),2))</f>
        <v/>
      </c>
      <c r="N730" s="19" t="str">
        <f t="shared" si="60"/>
        <v/>
      </c>
    </row>
    <row r="731" spans="2:14" x14ac:dyDescent="0.2">
      <c r="B731" s="15"/>
      <c r="C731" s="6"/>
      <c r="D731" s="12"/>
      <c r="E731" s="10" t="str">
        <f t="shared" si="56"/>
        <v/>
      </c>
      <c r="F731" s="16"/>
      <c r="G731" s="13"/>
      <c r="H731" s="6"/>
      <c r="I731" s="6"/>
      <c r="J731" s="11" t="str">
        <f t="shared" si="57"/>
        <v/>
      </c>
      <c r="K731" s="17" t="str">
        <f t="shared" si="58"/>
        <v/>
      </c>
      <c r="L731" s="18" t="str">
        <f t="shared" si="59"/>
        <v/>
      </c>
      <c r="M731" s="18" t="str">
        <f>IF(J731&lt;&gt;-1,"",ROUND(F731*IFERROR(INDEX(Stocuri!$G$5:$G$204,MATCH(D731,Coduri,0)),0),2))</f>
        <v/>
      </c>
      <c r="N731" s="19" t="str">
        <f t="shared" si="60"/>
        <v/>
      </c>
    </row>
    <row r="732" spans="2:14" x14ac:dyDescent="0.2">
      <c r="B732" s="15"/>
      <c r="C732" s="6"/>
      <c r="D732" s="12"/>
      <c r="E732" s="10" t="str">
        <f t="shared" si="56"/>
        <v/>
      </c>
      <c r="F732" s="16"/>
      <c r="G732" s="13"/>
      <c r="H732" s="6"/>
      <c r="I732" s="6"/>
      <c r="J732" s="11" t="str">
        <f t="shared" si="57"/>
        <v/>
      </c>
      <c r="K732" s="17" t="str">
        <f t="shared" si="58"/>
        <v/>
      </c>
      <c r="L732" s="18" t="str">
        <f t="shared" si="59"/>
        <v/>
      </c>
      <c r="M732" s="18" t="str">
        <f>IF(J732&lt;&gt;-1,"",ROUND(F732*IFERROR(INDEX(Stocuri!$G$5:$G$204,MATCH(D732,Coduri,0)),0),2))</f>
        <v/>
      </c>
      <c r="N732" s="19" t="str">
        <f t="shared" si="60"/>
        <v/>
      </c>
    </row>
    <row r="733" spans="2:14" x14ac:dyDescent="0.2">
      <c r="B733" s="15"/>
      <c r="C733" s="6"/>
      <c r="D733" s="12"/>
      <c r="E733" s="10" t="str">
        <f t="shared" si="56"/>
        <v/>
      </c>
      <c r="F733" s="16"/>
      <c r="G733" s="13"/>
      <c r="H733" s="6"/>
      <c r="I733" s="6"/>
      <c r="J733" s="11" t="str">
        <f t="shared" si="57"/>
        <v/>
      </c>
      <c r="K733" s="17" t="str">
        <f t="shared" si="58"/>
        <v/>
      </c>
      <c r="L733" s="18" t="str">
        <f t="shared" si="59"/>
        <v/>
      </c>
      <c r="M733" s="18" t="str">
        <f>IF(J733&lt;&gt;-1,"",ROUND(F733*IFERROR(INDEX(Stocuri!$G$5:$G$204,MATCH(D733,Coduri,0)),0),2))</f>
        <v/>
      </c>
      <c r="N733" s="19" t="str">
        <f t="shared" si="60"/>
        <v/>
      </c>
    </row>
    <row r="734" spans="2:14" x14ac:dyDescent="0.2">
      <c r="B734" s="15"/>
      <c r="C734" s="6"/>
      <c r="D734" s="12"/>
      <c r="E734" s="10" t="str">
        <f t="shared" si="56"/>
        <v/>
      </c>
      <c r="F734" s="16"/>
      <c r="G734" s="13"/>
      <c r="H734" s="6"/>
      <c r="I734" s="6"/>
      <c r="J734" s="11" t="str">
        <f t="shared" si="57"/>
        <v/>
      </c>
      <c r="K734" s="17" t="str">
        <f t="shared" si="58"/>
        <v/>
      </c>
      <c r="L734" s="18" t="str">
        <f t="shared" si="59"/>
        <v/>
      </c>
      <c r="M734" s="18" t="str">
        <f>IF(J734&lt;&gt;-1,"",ROUND(F734*IFERROR(INDEX(Stocuri!$G$5:$G$204,MATCH(D734,Coduri,0)),0),2))</f>
        <v/>
      </c>
      <c r="N734" s="19" t="str">
        <f t="shared" si="60"/>
        <v/>
      </c>
    </row>
    <row r="735" spans="2:14" x14ac:dyDescent="0.2">
      <c r="B735" s="15"/>
      <c r="C735" s="6"/>
      <c r="D735" s="12"/>
      <c r="E735" s="10" t="str">
        <f t="shared" si="56"/>
        <v/>
      </c>
      <c r="F735" s="16"/>
      <c r="G735" s="13"/>
      <c r="H735" s="6"/>
      <c r="I735" s="6"/>
      <c r="J735" s="11" t="str">
        <f t="shared" si="57"/>
        <v/>
      </c>
      <c r="K735" s="17" t="str">
        <f t="shared" si="58"/>
        <v/>
      </c>
      <c r="L735" s="18" t="str">
        <f t="shared" si="59"/>
        <v/>
      </c>
      <c r="M735" s="18" t="str">
        <f>IF(J735&lt;&gt;-1,"",ROUND(F735*IFERROR(INDEX(Stocuri!$G$5:$G$204,MATCH(D735,Coduri,0)),0),2))</f>
        <v/>
      </c>
      <c r="N735" s="19" t="str">
        <f t="shared" si="60"/>
        <v/>
      </c>
    </row>
    <row r="736" spans="2:14" x14ac:dyDescent="0.2">
      <c r="B736" s="15"/>
      <c r="C736" s="6"/>
      <c r="D736" s="12"/>
      <c r="E736" s="10" t="str">
        <f t="shared" si="56"/>
        <v/>
      </c>
      <c r="F736" s="16"/>
      <c r="G736" s="13"/>
      <c r="H736" s="6"/>
      <c r="I736" s="6"/>
      <c r="J736" s="11" t="str">
        <f t="shared" si="57"/>
        <v/>
      </c>
      <c r="K736" s="17" t="str">
        <f t="shared" si="58"/>
        <v/>
      </c>
      <c r="L736" s="18" t="str">
        <f t="shared" si="59"/>
        <v/>
      </c>
      <c r="M736" s="18" t="str">
        <f>IF(J736&lt;&gt;-1,"",ROUND(F736*IFERROR(INDEX(Stocuri!$G$5:$G$204,MATCH(D736,Coduri,0)),0),2))</f>
        <v/>
      </c>
      <c r="N736" s="19" t="str">
        <f t="shared" si="60"/>
        <v/>
      </c>
    </row>
    <row r="737" spans="2:14" x14ac:dyDescent="0.2">
      <c r="B737" s="15"/>
      <c r="C737" s="6"/>
      <c r="D737" s="12"/>
      <c r="E737" s="10" t="str">
        <f t="shared" si="56"/>
        <v/>
      </c>
      <c r="F737" s="16"/>
      <c r="G737" s="13"/>
      <c r="H737" s="6"/>
      <c r="I737" s="6"/>
      <c r="J737" s="11" t="str">
        <f t="shared" si="57"/>
        <v/>
      </c>
      <c r="K737" s="17" t="str">
        <f t="shared" si="58"/>
        <v/>
      </c>
      <c r="L737" s="18" t="str">
        <f t="shared" si="59"/>
        <v/>
      </c>
      <c r="M737" s="18" t="str">
        <f>IF(J737&lt;&gt;-1,"",ROUND(F737*IFERROR(INDEX(Stocuri!$G$5:$G$204,MATCH(D737,Coduri,0)),0),2))</f>
        <v/>
      </c>
      <c r="N737" s="19" t="str">
        <f t="shared" si="60"/>
        <v/>
      </c>
    </row>
    <row r="738" spans="2:14" x14ac:dyDescent="0.2">
      <c r="B738" s="15"/>
      <c r="C738" s="6"/>
      <c r="D738" s="12"/>
      <c r="E738" s="10" t="str">
        <f t="shared" si="56"/>
        <v/>
      </c>
      <c r="F738" s="16"/>
      <c r="G738" s="13"/>
      <c r="H738" s="6"/>
      <c r="I738" s="6"/>
      <c r="J738" s="11" t="str">
        <f t="shared" si="57"/>
        <v/>
      </c>
      <c r="K738" s="17" t="str">
        <f t="shared" si="58"/>
        <v/>
      </c>
      <c r="L738" s="18" t="str">
        <f t="shared" si="59"/>
        <v/>
      </c>
      <c r="M738" s="18" t="str">
        <f>IF(J738&lt;&gt;-1,"",ROUND(F738*IFERROR(INDEX(Stocuri!$G$5:$G$204,MATCH(D738,Coduri,0)),0),2))</f>
        <v/>
      </c>
      <c r="N738" s="19" t="str">
        <f t="shared" si="60"/>
        <v/>
      </c>
    </row>
    <row r="739" spans="2:14" x14ac:dyDescent="0.2">
      <c r="B739" s="15"/>
      <c r="C739" s="6"/>
      <c r="D739" s="12"/>
      <c r="E739" s="10" t="str">
        <f t="shared" si="56"/>
        <v/>
      </c>
      <c r="F739" s="16"/>
      <c r="G739" s="13"/>
      <c r="H739" s="6"/>
      <c r="I739" s="6"/>
      <c r="J739" s="11" t="str">
        <f t="shared" si="57"/>
        <v/>
      </c>
      <c r="K739" s="17" t="str">
        <f t="shared" si="58"/>
        <v/>
      </c>
      <c r="L739" s="18" t="str">
        <f t="shared" si="59"/>
        <v/>
      </c>
      <c r="M739" s="18" t="str">
        <f>IF(J739&lt;&gt;-1,"",ROUND(F739*IFERROR(INDEX(Stocuri!$G$5:$G$204,MATCH(D739,Coduri,0)),0),2))</f>
        <v/>
      </c>
      <c r="N739" s="19" t="str">
        <f t="shared" si="60"/>
        <v/>
      </c>
    </row>
    <row r="740" spans="2:14" x14ac:dyDescent="0.2">
      <c r="B740" s="15"/>
      <c r="C740" s="6"/>
      <c r="D740" s="12"/>
      <c r="E740" s="10" t="str">
        <f t="shared" si="56"/>
        <v/>
      </c>
      <c r="F740" s="16"/>
      <c r="G740" s="13"/>
      <c r="H740" s="6"/>
      <c r="I740" s="6"/>
      <c r="J740" s="11" t="str">
        <f t="shared" si="57"/>
        <v/>
      </c>
      <c r="K740" s="17" t="str">
        <f t="shared" si="58"/>
        <v/>
      </c>
      <c r="L740" s="18" t="str">
        <f t="shared" si="59"/>
        <v/>
      </c>
      <c r="M740" s="18" t="str">
        <f>IF(J740&lt;&gt;-1,"",ROUND(F740*IFERROR(INDEX(Stocuri!$G$5:$G$204,MATCH(D740,Coduri,0)),0),2))</f>
        <v/>
      </c>
      <c r="N740" s="19" t="str">
        <f t="shared" si="60"/>
        <v/>
      </c>
    </row>
    <row r="741" spans="2:14" x14ac:dyDescent="0.2">
      <c r="B741" s="15"/>
      <c r="C741" s="6"/>
      <c r="D741" s="12"/>
      <c r="E741" s="10" t="str">
        <f t="shared" si="56"/>
        <v/>
      </c>
      <c r="F741" s="16"/>
      <c r="G741" s="13"/>
      <c r="H741" s="6"/>
      <c r="I741" s="6"/>
      <c r="J741" s="11" t="str">
        <f t="shared" si="57"/>
        <v/>
      </c>
      <c r="K741" s="17" t="str">
        <f t="shared" si="58"/>
        <v/>
      </c>
      <c r="L741" s="18" t="str">
        <f t="shared" si="59"/>
        <v/>
      </c>
      <c r="M741" s="18" t="str">
        <f>IF(J741&lt;&gt;-1,"",ROUND(F741*IFERROR(INDEX(Stocuri!$G$5:$G$204,MATCH(D741,Coduri,0)),0),2))</f>
        <v/>
      </c>
      <c r="N741" s="19" t="str">
        <f t="shared" si="60"/>
        <v/>
      </c>
    </row>
    <row r="742" spans="2:14" x14ac:dyDescent="0.2">
      <c r="B742" s="15"/>
      <c r="C742" s="6"/>
      <c r="D742" s="12"/>
      <c r="E742" s="10" t="str">
        <f t="shared" si="56"/>
        <v/>
      </c>
      <c r="F742" s="16"/>
      <c r="G742" s="13"/>
      <c r="H742" s="6"/>
      <c r="I742" s="6"/>
      <c r="J742" s="11" t="str">
        <f t="shared" si="57"/>
        <v/>
      </c>
      <c r="K742" s="17" t="str">
        <f t="shared" si="58"/>
        <v/>
      </c>
      <c r="L742" s="18" t="str">
        <f t="shared" si="59"/>
        <v/>
      </c>
      <c r="M742" s="18" t="str">
        <f>IF(J742&lt;&gt;-1,"",ROUND(F742*IFERROR(INDEX(Stocuri!$G$5:$G$204,MATCH(D742,Coduri,0)),0),2))</f>
        <v/>
      </c>
      <c r="N742" s="19" t="str">
        <f t="shared" si="60"/>
        <v/>
      </c>
    </row>
    <row r="743" spans="2:14" x14ac:dyDescent="0.2">
      <c r="B743" s="15"/>
      <c r="C743" s="6"/>
      <c r="D743" s="12"/>
      <c r="E743" s="10" t="str">
        <f t="shared" si="56"/>
        <v/>
      </c>
      <c r="F743" s="16"/>
      <c r="G743" s="13"/>
      <c r="H743" s="6"/>
      <c r="I743" s="6"/>
      <c r="J743" s="11" t="str">
        <f t="shared" si="57"/>
        <v/>
      </c>
      <c r="K743" s="17" t="str">
        <f t="shared" si="58"/>
        <v/>
      </c>
      <c r="L743" s="18" t="str">
        <f t="shared" si="59"/>
        <v/>
      </c>
      <c r="M743" s="18" t="str">
        <f>IF(J743&lt;&gt;-1,"",ROUND(F743*IFERROR(INDEX(Stocuri!$G$5:$G$204,MATCH(D743,Coduri,0)),0),2))</f>
        <v/>
      </c>
      <c r="N743" s="19" t="str">
        <f t="shared" si="60"/>
        <v/>
      </c>
    </row>
    <row r="744" spans="2:14" x14ac:dyDescent="0.2">
      <c r="B744" s="15"/>
      <c r="C744" s="6"/>
      <c r="D744" s="12"/>
      <c r="E744" s="10" t="str">
        <f t="shared" si="56"/>
        <v/>
      </c>
      <c r="F744" s="16"/>
      <c r="G744" s="13"/>
      <c r="H744" s="6"/>
      <c r="I744" s="6"/>
      <c r="J744" s="11" t="str">
        <f t="shared" si="57"/>
        <v/>
      </c>
      <c r="K744" s="17" t="str">
        <f t="shared" si="58"/>
        <v/>
      </c>
      <c r="L744" s="18" t="str">
        <f t="shared" si="59"/>
        <v/>
      </c>
      <c r="M744" s="18" t="str">
        <f>IF(J744&lt;&gt;-1,"",ROUND(F744*IFERROR(INDEX(Stocuri!$G$5:$G$204,MATCH(D744,Coduri,0)),0),2))</f>
        <v/>
      </c>
      <c r="N744" s="19" t="str">
        <f t="shared" si="60"/>
        <v/>
      </c>
    </row>
    <row r="745" spans="2:14" x14ac:dyDescent="0.2">
      <c r="B745" s="15"/>
      <c r="C745" s="6"/>
      <c r="D745" s="12"/>
      <c r="E745" s="10" t="str">
        <f t="shared" si="56"/>
        <v/>
      </c>
      <c r="F745" s="16"/>
      <c r="G745" s="13"/>
      <c r="H745" s="6"/>
      <c r="I745" s="6"/>
      <c r="J745" s="11" t="str">
        <f t="shared" si="57"/>
        <v/>
      </c>
      <c r="K745" s="17" t="str">
        <f t="shared" si="58"/>
        <v/>
      </c>
      <c r="L745" s="18" t="str">
        <f t="shared" si="59"/>
        <v/>
      </c>
      <c r="M745" s="18" t="str">
        <f>IF(J745&lt;&gt;-1,"",ROUND(F745*IFERROR(INDEX(Stocuri!$G$5:$G$204,MATCH(D745,Coduri,0)),0),2))</f>
        <v/>
      </c>
      <c r="N745" s="19" t="str">
        <f t="shared" si="60"/>
        <v/>
      </c>
    </row>
    <row r="746" spans="2:14" x14ac:dyDescent="0.2">
      <c r="B746" s="15"/>
      <c r="C746" s="6"/>
      <c r="D746" s="12"/>
      <c r="E746" s="10" t="str">
        <f t="shared" si="56"/>
        <v/>
      </c>
      <c r="F746" s="16"/>
      <c r="G746" s="13"/>
      <c r="H746" s="6"/>
      <c r="I746" s="6"/>
      <c r="J746" s="11" t="str">
        <f t="shared" si="57"/>
        <v/>
      </c>
      <c r="K746" s="17" t="str">
        <f t="shared" si="58"/>
        <v/>
      </c>
      <c r="L746" s="18" t="str">
        <f t="shared" si="59"/>
        <v/>
      </c>
      <c r="M746" s="18" t="str">
        <f>IF(J746&lt;&gt;-1,"",ROUND(F746*IFERROR(INDEX(Stocuri!$G$5:$G$204,MATCH(D746,Coduri,0)),0),2))</f>
        <v/>
      </c>
      <c r="N746" s="19" t="str">
        <f t="shared" si="60"/>
        <v/>
      </c>
    </row>
    <row r="747" spans="2:14" x14ac:dyDescent="0.2">
      <c r="B747" s="15"/>
      <c r="C747" s="6"/>
      <c r="D747" s="12"/>
      <c r="E747" s="10" t="str">
        <f t="shared" si="56"/>
        <v/>
      </c>
      <c r="F747" s="16"/>
      <c r="G747" s="13"/>
      <c r="H747" s="6"/>
      <c r="I747" s="6"/>
      <c r="J747" s="11" t="str">
        <f t="shared" si="57"/>
        <v/>
      </c>
      <c r="K747" s="17" t="str">
        <f t="shared" si="58"/>
        <v/>
      </c>
      <c r="L747" s="18" t="str">
        <f t="shared" si="59"/>
        <v/>
      </c>
      <c r="M747" s="18" t="str">
        <f>IF(J747&lt;&gt;-1,"",ROUND(F747*IFERROR(INDEX(Stocuri!$G$5:$G$204,MATCH(D747,Coduri,0)),0),2))</f>
        <v/>
      </c>
      <c r="N747" s="19" t="str">
        <f t="shared" si="60"/>
        <v/>
      </c>
    </row>
    <row r="748" spans="2:14" x14ac:dyDescent="0.2">
      <c r="B748" s="15"/>
      <c r="C748" s="6"/>
      <c r="D748" s="12"/>
      <c r="E748" s="10" t="str">
        <f t="shared" si="56"/>
        <v/>
      </c>
      <c r="F748" s="16"/>
      <c r="G748" s="13"/>
      <c r="H748" s="6"/>
      <c r="I748" s="6"/>
      <c r="J748" s="11" t="str">
        <f t="shared" si="57"/>
        <v/>
      </c>
      <c r="K748" s="17" t="str">
        <f t="shared" si="58"/>
        <v/>
      </c>
      <c r="L748" s="18" t="str">
        <f t="shared" si="59"/>
        <v/>
      </c>
      <c r="M748" s="18" t="str">
        <f>IF(J748&lt;&gt;-1,"",ROUND(F748*IFERROR(INDEX(Stocuri!$G$5:$G$204,MATCH(D748,Coduri,0)),0),2))</f>
        <v/>
      </c>
      <c r="N748" s="19" t="str">
        <f t="shared" si="60"/>
        <v/>
      </c>
    </row>
    <row r="749" spans="2:14" x14ac:dyDescent="0.2">
      <c r="B749" s="15"/>
      <c r="C749" s="6"/>
      <c r="D749" s="12"/>
      <c r="E749" s="10" t="str">
        <f t="shared" si="56"/>
        <v/>
      </c>
      <c r="F749" s="16"/>
      <c r="G749" s="13"/>
      <c r="H749" s="6"/>
      <c r="I749" s="6"/>
      <c r="J749" s="11" t="str">
        <f t="shared" si="57"/>
        <v/>
      </c>
      <c r="K749" s="17" t="str">
        <f t="shared" si="58"/>
        <v/>
      </c>
      <c r="L749" s="18" t="str">
        <f t="shared" si="59"/>
        <v/>
      </c>
      <c r="M749" s="18" t="str">
        <f>IF(J749&lt;&gt;-1,"",ROUND(F749*IFERROR(INDEX(Stocuri!$G$5:$G$204,MATCH(D749,Coduri,0)),0),2))</f>
        <v/>
      </c>
      <c r="N749" s="19" t="str">
        <f t="shared" si="60"/>
        <v/>
      </c>
    </row>
    <row r="750" spans="2:14" x14ac:dyDescent="0.2">
      <c r="B750" s="15"/>
      <c r="C750" s="6"/>
      <c r="D750" s="12"/>
      <c r="E750" s="10" t="str">
        <f t="shared" si="56"/>
        <v/>
      </c>
      <c r="F750" s="16"/>
      <c r="G750" s="13"/>
      <c r="H750" s="6"/>
      <c r="I750" s="6"/>
      <c r="J750" s="11" t="str">
        <f t="shared" si="57"/>
        <v/>
      </c>
      <c r="K750" s="17" t="str">
        <f t="shared" si="58"/>
        <v/>
      </c>
      <c r="L750" s="18" t="str">
        <f t="shared" si="59"/>
        <v/>
      </c>
      <c r="M750" s="18" t="str">
        <f>IF(J750&lt;&gt;-1,"",ROUND(F750*IFERROR(INDEX(Stocuri!$G$5:$G$204,MATCH(D750,Coduri,0)),0),2))</f>
        <v/>
      </c>
      <c r="N750" s="19" t="str">
        <f t="shared" si="60"/>
        <v/>
      </c>
    </row>
    <row r="751" spans="2:14" x14ac:dyDescent="0.2">
      <c r="B751" s="15"/>
      <c r="C751" s="6"/>
      <c r="D751" s="12"/>
      <c r="E751" s="10" t="str">
        <f t="shared" si="56"/>
        <v/>
      </c>
      <c r="F751" s="16"/>
      <c r="G751" s="13"/>
      <c r="H751" s="6"/>
      <c r="I751" s="6"/>
      <c r="J751" s="11" t="str">
        <f t="shared" si="57"/>
        <v/>
      </c>
      <c r="K751" s="17" t="str">
        <f t="shared" si="58"/>
        <v/>
      </c>
      <c r="L751" s="18" t="str">
        <f t="shared" si="59"/>
        <v/>
      </c>
      <c r="M751" s="18" t="str">
        <f>IF(J751&lt;&gt;-1,"",ROUND(F751*IFERROR(INDEX(Stocuri!$G$5:$G$204,MATCH(D751,Coduri,0)),0),2))</f>
        <v/>
      </c>
      <c r="N751" s="19" t="str">
        <f t="shared" si="60"/>
        <v/>
      </c>
    </row>
    <row r="752" spans="2:14" x14ac:dyDescent="0.2">
      <c r="B752" s="15"/>
      <c r="C752" s="6"/>
      <c r="D752" s="12"/>
      <c r="E752" s="10" t="str">
        <f t="shared" si="56"/>
        <v/>
      </c>
      <c r="F752" s="16"/>
      <c r="G752" s="13"/>
      <c r="H752" s="6"/>
      <c r="I752" s="6"/>
      <c r="J752" s="11" t="str">
        <f t="shared" si="57"/>
        <v/>
      </c>
      <c r="K752" s="17" t="str">
        <f t="shared" si="58"/>
        <v/>
      </c>
      <c r="L752" s="18" t="str">
        <f t="shared" si="59"/>
        <v/>
      </c>
      <c r="M752" s="18" t="str">
        <f>IF(J752&lt;&gt;-1,"",ROUND(F752*IFERROR(INDEX(Stocuri!$G$5:$G$204,MATCH(D752,Coduri,0)),0),2))</f>
        <v/>
      </c>
      <c r="N752" s="19" t="str">
        <f t="shared" si="60"/>
        <v/>
      </c>
    </row>
    <row r="753" spans="2:14" x14ac:dyDescent="0.2">
      <c r="B753" s="15"/>
      <c r="C753" s="6"/>
      <c r="D753" s="12"/>
      <c r="E753" s="10" t="str">
        <f t="shared" si="56"/>
        <v/>
      </c>
      <c r="F753" s="16"/>
      <c r="G753" s="13"/>
      <c r="H753" s="6"/>
      <c r="I753" s="6"/>
      <c r="J753" s="11" t="str">
        <f t="shared" si="57"/>
        <v/>
      </c>
      <c r="K753" s="17" t="str">
        <f t="shared" si="58"/>
        <v/>
      </c>
      <c r="L753" s="18" t="str">
        <f t="shared" si="59"/>
        <v/>
      </c>
      <c r="M753" s="18" t="str">
        <f>IF(J753&lt;&gt;-1,"",ROUND(F753*IFERROR(INDEX(Stocuri!$G$5:$G$204,MATCH(D753,Coduri,0)),0),2))</f>
        <v/>
      </c>
      <c r="N753" s="19" t="str">
        <f t="shared" si="60"/>
        <v/>
      </c>
    </row>
    <row r="754" spans="2:14" x14ac:dyDescent="0.2">
      <c r="B754" s="15"/>
      <c r="C754" s="6"/>
      <c r="D754" s="12"/>
      <c r="E754" s="10" t="str">
        <f t="shared" si="56"/>
        <v/>
      </c>
      <c r="F754" s="16"/>
      <c r="G754" s="13"/>
      <c r="H754" s="6"/>
      <c r="I754" s="6"/>
      <c r="J754" s="11" t="str">
        <f t="shared" si="57"/>
        <v/>
      </c>
      <c r="K754" s="17" t="str">
        <f t="shared" si="58"/>
        <v/>
      </c>
      <c r="L754" s="18" t="str">
        <f t="shared" si="59"/>
        <v/>
      </c>
      <c r="M754" s="18" t="str">
        <f>IF(J754&lt;&gt;-1,"",ROUND(F754*IFERROR(INDEX(Stocuri!$G$5:$G$204,MATCH(D754,Coduri,0)),0),2))</f>
        <v/>
      </c>
      <c r="N754" s="19" t="str">
        <f t="shared" si="60"/>
        <v/>
      </c>
    </row>
    <row r="755" spans="2:14" x14ac:dyDescent="0.2">
      <c r="B755" s="15"/>
      <c r="C755" s="6"/>
      <c r="D755" s="12"/>
      <c r="E755" s="10" t="str">
        <f t="shared" si="56"/>
        <v/>
      </c>
      <c r="F755" s="16"/>
      <c r="G755" s="13"/>
      <c r="H755" s="6"/>
      <c r="I755" s="6"/>
      <c r="J755" s="11" t="str">
        <f t="shared" si="57"/>
        <v/>
      </c>
      <c r="K755" s="17" t="str">
        <f t="shared" si="58"/>
        <v/>
      </c>
      <c r="L755" s="18" t="str">
        <f t="shared" si="59"/>
        <v/>
      </c>
      <c r="M755" s="18" t="str">
        <f>IF(J755&lt;&gt;-1,"",ROUND(F755*IFERROR(INDEX(Stocuri!$G$5:$G$204,MATCH(D755,Coduri,0)),0),2))</f>
        <v/>
      </c>
      <c r="N755" s="19" t="str">
        <f t="shared" si="60"/>
        <v/>
      </c>
    </row>
    <row r="756" spans="2:14" x14ac:dyDescent="0.2">
      <c r="B756" s="15"/>
      <c r="C756" s="6"/>
      <c r="D756" s="12"/>
      <c r="E756" s="10" t="str">
        <f t="shared" si="56"/>
        <v/>
      </c>
      <c r="F756" s="16"/>
      <c r="G756" s="13"/>
      <c r="H756" s="6"/>
      <c r="I756" s="6"/>
      <c r="J756" s="11" t="str">
        <f t="shared" si="57"/>
        <v/>
      </c>
      <c r="K756" s="17" t="str">
        <f t="shared" si="58"/>
        <v/>
      </c>
      <c r="L756" s="18" t="str">
        <f t="shared" si="59"/>
        <v/>
      </c>
      <c r="M756" s="18" t="str">
        <f>IF(J756&lt;&gt;-1,"",ROUND(F756*IFERROR(INDEX(Stocuri!$G$5:$G$204,MATCH(D756,Coduri,0)),0),2))</f>
        <v/>
      </c>
      <c r="N756" s="19" t="str">
        <f t="shared" si="60"/>
        <v/>
      </c>
    </row>
    <row r="757" spans="2:14" x14ac:dyDescent="0.2">
      <c r="B757" s="15"/>
      <c r="C757" s="6"/>
      <c r="D757" s="12"/>
      <c r="E757" s="10" t="str">
        <f t="shared" si="56"/>
        <v/>
      </c>
      <c r="F757" s="16"/>
      <c r="G757" s="13"/>
      <c r="H757" s="6"/>
      <c r="I757" s="6"/>
      <c r="J757" s="11" t="str">
        <f t="shared" si="57"/>
        <v/>
      </c>
      <c r="K757" s="17" t="str">
        <f t="shared" si="58"/>
        <v/>
      </c>
      <c r="L757" s="18" t="str">
        <f t="shared" si="59"/>
        <v/>
      </c>
      <c r="M757" s="18" t="str">
        <f>IF(J757&lt;&gt;-1,"",ROUND(F757*IFERROR(INDEX(Stocuri!$G$5:$G$204,MATCH(D757,Coduri,0)),0),2))</f>
        <v/>
      </c>
      <c r="N757" s="19" t="str">
        <f t="shared" si="60"/>
        <v/>
      </c>
    </row>
    <row r="758" spans="2:14" x14ac:dyDescent="0.2">
      <c r="B758" s="15"/>
      <c r="C758" s="6"/>
      <c r="D758" s="12"/>
      <c r="E758" s="10" t="str">
        <f t="shared" si="56"/>
        <v/>
      </c>
      <c r="F758" s="16"/>
      <c r="G758" s="13"/>
      <c r="H758" s="6"/>
      <c r="I758" s="6"/>
      <c r="J758" s="11" t="str">
        <f t="shared" si="57"/>
        <v/>
      </c>
      <c r="K758" s="17" t="str">
        <f t="shared" si="58"/>
        <v/>
      </c>
      <c r="L758" s="18" t="str">
        <f t="shared" si="59"/>
        <v/>
      </c>
      <c r="M758" s="18" t="str">
        <f>IF(J758&lt;&gt;-1,"",ROUND(F758*IFERROR(INDEX(Stocuri!$G$5:$G$204,MATCH(D758,Coduri,0)),0),2))</f>
        <v/>
      </c>
      <c r="N758" s="19" t="str">
        <f t="shared" si="60"/>
        <v/>
      </c>
    </row>
    <row r="759" spans="2:14" x14ac:dyDescent="0.2">
      <c r="B759" s="15"/>
      <c r="C759" s="6"/>
      <c r="D759" s="12"/>
      <c r="E759" s="10" t="str">
        <f t="shared" si="56"/>
        <v/>
      </c>
      <c r="F759" s="16"/>
      <c r="G759" s="13"/>
      <c r="H759" s="6"/>
      <c r="I759" s="6"/>
      <c r="J759" s="11" t="str">
        <f t="shared" si="57"/>
        <v/>
      </c>
      <c r="K759" s="17" t="str">
        <f t="shared" si="58"/>
        <v/>
      </c>
      <c r="L759" s="18" t="str">
        <f t="shared" si="59"/>
        <v/>
      </c>
      <c r="M759" s="18" t="str">
        <f>IF(J759&lt;&gt;-1,"",ROUND(F759*IFERROR(INDEX(Stocuri!$G$5:$G$204,MATCH(D759,Coduri,0)),0),2))</f>
        <v/>
      </c>
      <c r="N759" s="19" t="str">
        <f t="shared" si="60"/>
        <v/>
      </c>
    </row>
    <row r="760" spans="2:14" x14ac:dyDescent="0.2">
      <c r="B760" s="15"/>
      <c r="C760" s="6"/>
      <c r="D760" s="12"/>
      <c r="E760" s="10" t="str">
        <f t="shared" si="56"/>
        <v/>
      </c>
      <c r="F760" s="16"/>
      <c r="G760" s="13"/>
      <c r="H760" s="6"/>
      <c r="I760" s="6"/>
      <c r="J760" s="11" t="str">
        <f t="shared" si="57"/>
        <v/>
      </c>
      <c r="K760" s="17" t="str">
        <f t="shared" si="58"/>
        <v/>
      </c>
      <c r="L760" s="18" t="str">
        <f t="shared" si="59"/>
        <v/>
      </c>
      <c r="M760" s="18" t="str">
        <f>IF(J760&lt;&gt;-1,"",ROUND(F760*IFERROR(INDEX(Stocuri!$G$5:$G$204,MATCH(D760,Coduri,0)),0),2))</f>
        <v/>
      </c>
      <c r="N760" s="19" t="str">
        <f t="shared" si="60"/>
        <v/>
      </c>
    </row>
    <row r="761" spans="2:14" x14ac:dyDescent="0.2">
      <c r="B761" s="15"/>
      <c r="C761" s="6"/>
      <c r="D761" s="12"/>
      <c r="E761" s="10" t="str">
        <f t="shared" si="56"/>
        <v/>
      </c>
      <c r="F761" s="16"/>
      <c r="G761" s="13"/>
      <c r="H761" s="6"/>
      <c r="I761" s="6"/>
      <c r="J761" s="11" t="str">
        <f t="shared" si="57"/>
        <v/>
      </c>
      <c r="K761" s="17" t="str">
        <f t="shared" si="58"/>
        <v/>
      </c>
      <c r="L761" s="18" t="str">
        <f t="shared" si="59"/>
        <v/>
      </c>
      <c r="M761" s="18" t="str">
        <f>IF(J761&lt;&gt;-1,"",ROUND(F761*IFERROR(INDEX(Stocuri!$G$5:$G$204,MATCH(D761,Coduri,0)),0),2))</f>
        <v/>
      </c>
      <c r="N761" s="19" t="str">
        <f t="shared" si="60"/>
        <v/>
      </c>
    </row>
    <row r="762" spans="2:14" x14ac:dyDescent="0.2">
      <c r="B762" s="15"/>
      <c r="C762" s="6"/>
      <c r="D762" s="12"/>
      <c r="E762" s="10" t="str">
        <f t="shared" si="56"/>
        <v/>
      </c>
      <c r="F762" s="16"/>
      <c r="G762" s="13"/>
      <c r="H762" s="6"/>
      <c r="I762" s="6"/>
      <c r="J762" s="11" t="str">
        <f t="shared" si="57"/>
        <v/>
      </c>
      <c r="K762" s="17" t="str">
        <f t="shared" si="58"/>
        <v/>
      </c>
      <c r="L762" s="18" t="str">
        <f t="shared" si="59"/>
        <v/>
      </c>
      <c r="M762" s="18" t="str">
        <f>IF(J762&lt;&gt;-1,"",ROUND(F762*IFERROR(INDEX(Stocuri!$G$5:$G$204,MATCH(D762,Coduri,0)),0),2))</f>
        <v/>
      </c>
      <c r="N762" s="19" t="str">
        <f t="shared" si="60"/>
        <v/>
      </c>
    </row>
    <row r="763" spans="2:14" x14ac:dyDescent="0.2">
      <c r="B763" s="15"/>
      <c r="C763" s="6"/>
      <c r="D763" s="12"/>
      <c r="E763" s="10" t="str">
        <f t="shared" si="56"/>
        <v/>
      </c>
      <c r="F763" s="16"/>
      <c r="G763" s="13"/>
      <c r="H763" s="6"/>
      <c r="I763" s="6"/>
      <c r="J763" s="11" t="str">
        <f t="shared" si="57"/>
        <v/>
      </c>
      <c r="K763" s="17" t="str">
        <f t="shared" si="58"/>
        <v/>
      </c>
      <c r="L763" s="18" t="str">
        <f t="shared" si="59"/>
        <v/>
      </c>
      <c r="M763" s="18" t="str">
        <f>IF(J763&lt;&gt;-1,"",ROUND(F763*IFERROR(INDEX(Stocuri!$G$5:$G$204,MATCH(D763,Coduri,0)),0),2))</f>
        <v/>
      </c>
      <c r="N763" s="19" t="str">
        <f t="shared" si="60"/>
        <v/>
      </c>
    </row>
    <row r="764" spans="2:14" x14ac:dyDescent="0.2">
      <c r="B764" s="15"/>
      <c r="C764" s="6"/>
      <c r="D764" s="12"/>
      <c r="E764" s="10" t="str">
        <f t="shared" si="56"/>
        <v/>
      </c>
      <c r="F764" s="16"/>
      <c r="G764" s="13"/>
      <c r="H764" s="6"/>
      <c r="I764" s="6"/>
      <c r="J764" s="11" t="str">
        <f t="shared" si="57"/>
        <v/>
      </c>
      <c r="K764" s="17" t="str">
        <f t="shared" si="58"/>
        <v/>
      </c>
      <c r="L764" s="18" t="str">
        <f t="shared" si="59"/>
        <v/>
      </c>
      <c r="M764" s="18" t="str">
        <f>IF(J764&lt;&gt;-1,"",ROUND(F764*IFERROR(INDEX(Stocuri!$G$5:$G$204,MATCH(D764,Coduri,0)),0),2))</f>
        <v/>
      </c>
      <c r="N764" s="19" t="str">
        <f t="shared" si="60"/>
        <v/>
      </c>
    </row>
    <row r="765" spans="2:14" x14ac:dyDescent="0.2">
      <c r="B765" s="15"/>
      <c r="C765" s="6"/>
      <c r="D765" s="12"/>
      <c r="E765" s="10" t="str">
        <f t="shared" si="56"/>
        <v/>
      </c>
      <c r="F765" s="16"/>
      <c r="G765" s="13"/>
      <c r="H765" s="6"/>
      <c r="I765" s="6"/>
      <c r="J765" s="11" t="str">
        <f t="shared" si="57"/>
        <v/>
      </c>
      <c r="K765" s="17" t="str">
        <f t="shared" si="58"/>
        <v/>
      </c>
      <c r="L765" s="18" t="str">
        <f t="shared" si="59"/>
        <v/>
      </c>
      <c r="M765" s="18" t="str">
        <f>IF(J765&lt;&gt;-1,"",ROUND(F765*IFERROR(INDEX(Stocuri!$G$5:$G$204,MATCH(D765,Coduri,0)),0),2))</f>
        <v/>
      </c>
      <c r="N765" s="19" t="str">
        <f t="shared" si="60"/>
        <v/>
      </c>
    </row>
    <row r="766" spans="2:14" x14ac:dyDescent="0.2">
      <c r="B766" s="15"/>
      <c r="C766" s="6"/>
      <c r="D766" s="12"/>
      <c r="E766" s="10" t="str">
        <f t="shared" si="56"/>
        <v/>
      </c>
      <c r="F766" s="16"/>
      <c r="G766" s="13"/>
      <c r="H766" s="6"/>
      <c r="I766" s="6"/>
      <c r="J766" s="11" t="str">
        <f t="shared" si="57"/>
        <v/>
      </c>
      <c r="K766" s="17" t="str">
        <f t="shared" si="58"/>
        <v/>
      </c>
      <c r="L766" s="18" t="str">
        <f t="shared" si="59"/>
        <v/>
      </c>
      <c r="M766" s="18" t="str">
        <f>IF(J766&lt;&gt;-1,"",ROUND(F766*IFERROR(INDEX(Stocuri!$G$5:$G$204,MATCH(D766,Coduri,0)),0),2))</f>
        <v/>
      </c>
      <c r="N766" s="19" t="str">
        <f t="shared" si="60"/>
        <v/>
      </c>
    </row>
    <row r="767" spans="2:14" x14ac:dyDescent="0.2">
      <c r="B767" s="15"/>
      <c r="C767" s="6"/>
      <c r="D767" s="12"/>
      <c r="E767" s="10" t="str">
        <f t="shared" si="56"/>
        <v/>
      </c>
      <c r="F767" s="16"/>
      <c r="G767" s="13"/>
      <c r="H767" s="6"/>
      <c r="I767" s="6"/>
      <c r="J767" s="11" t="str">
        <f t="shared" si="57"/>
        <v/>
      </c>
      <c r="K767" s="17" t="str">
        <f t="shared" si="58"/>
        <v/>
      </c>
      <c r="L767" s="18" t="str">
        <f t="shared" si="59"/>
        <v/>
      </c>
      <c r="M767" s="18" t="str">
        <f>IF(J767&lt;&gt;-1,"",ROUND(F767*IFERROR(INDEX(Stocuri!$G$5:$G$204,MATCH(D767,Coduri,0)),0),2))</f>
        <v/>
      </c>
      <c r="N767" s="19" t="str">
        <f t="shared" si="60"/>
        <v/>
      </c>
    </row>
    <row r="768" spans="2:14" x14ac:dyDescent="0.2">
      <c r="B768" s="15"/>
      <c r="C768" s="6"/>
      <c r="D768" s="12"/>
      <c r="E768" s="10" t="str">
        <f t="shared" si="56"/>
        <v/>
      </c>
      <c r="F768" s="16"/>
      <c r="G768" s="13"/>
      <c r="H768" s="6"/>
      <c r="I768" s="6"/>
      <c r="J768" s="11" t="str">
        <f t="shared" si="57"/>
        <v/>
      </c>
      <c r="K768" s="17" t="str">
        <f t="shared" si="58"/>
        <v/>
      </c>
      <c r="L768" s="18" t="str">
        <f t="shared" si="59"/>
        <v/>
      </c>
      <c r="M768" s="18" t="str">
        <f>IF(J768&lt;&gt;-1,"",ROUND(F768*IFERROR(INDEX(Stocuri!$G$5:$G$204,MATCH(D768,Coduri,0)),0),2))</f>
        <v/>
      </c>
      <c r="N768" s="19" t="str">
        <f t="shared" si="60"/>
        <v/>
      </c>
    </row>
    <row r="769" spans="2:14" x14ac:dyDescent="0.2">
      <c r="B769" s="15"/>
      <c r="C769" s="6"/>
      <c r="D769" s="12"/>
      <c r="E769" s="10" t="str">
        <f t="shared" si="56"/>
        <v/>
      </c>
      <c r="F769" s="16"/>
      <c r="G769" s="13"/>
      <c r="H769" s="6"/>
      <c r="I769" s="6"/>
      <c r="J769" s="11" t="str">
        <f t="shared" si="57"/>
        <v/>
      </c>
      <c r="K769" s="17" t="str">
        <f t="shared" si="58"/>
        <v/>
      </c>
      <c r="L769" s="18" t="str">
        <f t="shared" si="59"/>
        <v/>
      </c>
      <c r="M769" s="18" t="str">
        <f>IF(J769&lt;&gt;-1,"",ROUND(F769*IFERROR(INDEX(Stocuri!$G$5:$G$204,MATCH(D769,Coduri,0)),0),2))</f>
        <v/>
      </c>
      <c r="N769" s="19" t="str">
        <f t="shared" si="60"/>
        <v/>
      </c>
    </row>
    <row r="770" spans="2:14" x14ac:dyDescent="0.2">
      <c r="B770" s="15"/>
      <c r="C770" s="6"/>
      <c r="D770" s="12"/>
      <c r="E770" s="10" t="str">
        <f t="shared" si="56"/>
        <v/>
      </c>
      <c r="F770" s="16"/>
      <c r="G770" s="13"/>
      <c r="H770" s="6"/>
      <c r="I770" s="6"/>
      <c r="J770" s="11" t="str">
        <f t="shared" si="57"/>
        <v/>
      </c>
      <c r="K770" s="17" t="str">
        <f t="shared" si="58"/>
        <v/>
      </c>
      <c r="L770" s="18" t="str">
        <f t="shared" si="59"/>
        <v/>
      </c>
      <c r="M770" s="18" t="str">
        <f>IF(J770&lt;&gt;-1,"",ROUND(F770*IFERROR(INDEX(Stocuri!$G$5:$G$204,MATCH(D770,Coduri,0)),0),2))</f>
        <v/>
      </c>
      <c r="N770" s="19" t="str">
        <f t="shared" si="60"/>
        <v/>
      </c>
    </row>
    <row r="771" spans="2:14" x14ac:dyDescent="0.2">
      <c r="B771" s="15"/>
      <c r="C771" s="6"/>
      <c r="D771" s="12"/>
      <c r="E771" s="10" t="str">
        <f t="shared" si="56"/>
        <v/>
      </c>
      <c r="F771" s="16"/>
      <c r="G771" s="13"/>
      <c r="H771" s="6"/>
      <c r="I771" s="6"/>
      <c r="J771" s="11" t="str">
        <f t="shared" si="57"/>
        <v/>
      </c>
      <c r="K771" s="17" t="str">
        <f t="shared" si="58"/>
        <v/>
      </c>
      <c r="L771" s="18" t="str">
        <f t="shared" si="59"/>
        <v/>
      </c>
      <c r="M771" s="18" t="str">
        <f>IF(J771&lt;&gt;-1,"",ROUND(F771*IFERROR(INDEX(Stocuri!$G$5:$G$204,MATCH(D771,Coduri,0)),0),2))</f>
        <v/>
      </c>
      <c r="N771" s="19" t="str">
        <f t="shared" si="60"/>
        <v/>
      </c>
    </row>
    <row r="772" spans="2:14" x14ac:dyDescent="0.2">
      <c r="B772" s="15"/>
      <c r="C772" s="6"/>
      <c r="D772" s="12"/>
      <c r="E772" s="10" t="str">
        <f t="shared" si="56"/>
        <v/>
      </c>
      <c r="F772" s="16"/>
      <c r="G772" s="13"/>
      <c r="H772" s="6"/>
      <c r="I772" s="6"/>
      <c r="J772" s="11" t="str">
        <f t="shared" si="57"/>
        <v/>
      </c>
      <c r="K772" s="17" t="str">
        <f t="shared" si="58"/>
        <v/>
      </c>
      <c r="L772" s="18" t="str">
        <f t="shared" si="59"/>
        <v/>
      </c>
      <c r="M772" s="18" t="str">
        <f>IF(J772&lt;&gt;-1,"",ROUND(F772*IFERROR(INDEX(Stocuri!$G$5:$G$204,MATCH(D772,Coduri,0)),0),2))</f>
        <v/>
      </c>
      <c r="N772" s="19" t="str">
        <f t="shared" si="60"/>
        <v/>
      </c>
    </row>
    <row r="773" spans="2:14" x14ac:dyDescent="0.2">
      <c r="B773" s="15"/>
      <c r="C773" s="6"/>
      <c r="D773" s="12"/>
      <c r="E773" s="10" t="str">
        <f t="shared" ref="E773:E836" si="61">IF(D773="","",IFERROR(VLOOKUP(D773,Catalog,2,FALSE),""))</f>
        <v/>
      </c>
      <c r="F773" s="16"/>
      <c r="G773" s="13"/>
      <c r="H773" s="6"/>
      <c r="I773" s="6"/>
      <c r="J773" s="11" t="str">
        <f t="shared" ref="J773:J836" si="62">IF(C773="","",IFERROR(VLOOKUP(C773,TipSemn,2,FALSE),""))</f>
        <v/>
      </c>
      <c r="K773" s="17" t="str">
        <f t="shared" ref="K773:K836" si="63">IF(OR(J773="",F773=""),"",J773*F773)</f>
        <v/>
      </c>
      <c r="L773" s="18" t="str">
        <f t="shared" ref="L773:L836" si="64">IF(OR(J773&lt;&gt;1,G773=""),"",ROUND(F773*G773,2))</f>
        <v/>
      </c>
      <c r="M773" s="18" t="str">
        <f>IF(J773&lt;&gt;-1,"",ROUND(F773*IFERROR(INDEX(Stocuri!$G$5:$G$204,MATCH(D773,Coduri,0)),0),2))</f>
        <v/>
      </c>
      <c r="N773" s="19" t="str">
        <f t="shared" ref="N773:N836" si="65">IF(AND(B773="",D773=""),"",TRIM(IF(OR(B773="",C773="",D773="",F773=""),"Date incomplete. ","")&amp;IF(AND(D773&lt;&gt;"",E773=""),"Cod necunoscut. ","")&amp;IF(AND(J773=1,C773&lt;&gt;"Retur de la client",C773&lt;&gt;"Ajustare inventar +",G773=""),"Lipsește prețul de intrare. ","")&amp;IF(AND(J773=-1,D773&lt;&gt;"",SUMIFS($K$5:$K$2004,$D$5:$D$2004,D773,$B$5:$B$2004,"&lt;="&amp;B773)&lt;0),"Stoc insuficient la această dată. ","")&amp;IF(AND(C773&lt;&gt;"Stoc inițial",H773=""),"Lipsește documentul. ","")))</f>
        <v/>
      </c>
    </row>
    <row r="774" spans="2:14" x14ac:dyDescent="0.2">
      <c r="B774" s="15"/>
      <c r="C774" s="6"/>
      <c r="D774" s="12"/>
      <c r="E774" s="10" t="str">
        <f t="shared" si="61"/>
        <v/>
      </c>
      <c r="F774" s="16"/>
      <c r="G774" s="13"/>
      <c r="H774" s="6"/>
      <c r="I774" s="6"/>
      <c r="J774" s="11" t="str">
        <f t="shared" si="62"/>
        <v/>
      </c>
      <c r="K774" s="17" t="str">
        <f t="shared" si="63"/>
        <v/>
      </c>
      <c r="L774" s="18" t="str">
        <f t="shared" si="64"/>
        <v/>
      </c>
      <c r="M774" s="18" t="str">
        <f>IF(J774&lt;&gt;-1,"",ROUND(F774*IFERROR(INDEX(Stocuri!$G$5:$G$204,MATCH(D774,Coduri,0)),0),2))</f>
        <v/>
      </c>
      <c r="N774" s="19" t="str">
        <f t="shared" si="65"/>
        <v/>
      </c>
    </row>
    <row r="775" spans="2:14" x14ac:dyDescent="0.2">
      <c r="B775" s="15"/>
      <c r="C775" s="6"/>
      <c r="D775" s="12"/>
      <c r="E775" s="10" t="str">
        <f t="shared" si="61"/>
        <v/>
      </c>
      <c r="F775" s="16"/>
      <c r="G775" s="13"/>
      <c r="H775" s="6"/>
      <c r="I775" s="6"/>
      <c r="J775" s="11" t="str">
        <f t="shared" si="62"/>
        <v/>
      </c>
      <c r="K775" s="17" t="str">
        <f t="shared" si="63"/>
        <v/>
      </c>
      <c r="L775" s="18" t="str">
        <f t="shared" si="64"/>
        <v/>
      </c>
      <c r="M775" s="18" t="str">
        <f>IF(J775&lt;&gt;-1,"",ROUND(F775*IFERROR(INDEX(Stocuri!$G$5:$G$204,MATCH(D775,Coduri,0)),0),2))</f>
        <v/>
      </c>
      <c r="N775" s="19" t="str">
        <f t="shared" si="65"/>
        <v/>
      </c>
    </row>
    <row r="776" spans="2:14" x14ac:dyDescent="0.2">
      <c r="B776" s="15"/>
      <c r="C776" s="6"/>
      <c r="D776" s="12"/>
      <c r="E776" s="10" t="str">
        <f t="shared" si="61"/>
        <v/>
      </c>
      <c r="F776" s="16"/>
      <c r="G776" s="13"/>
      <c r="H776" s="6"/>
      <c r="I776" s="6"/>
      <c r="J776" s="11" t="str">
        <f t="shared" si="62"/>
        <v/>
      </c>
      <c r="K776" s="17" t="str">
        <f t="shared" si="63"/>
        <v/>
      </c>
      <c r="L776" s="18" t="str">
        <f t="shared" si="64"/>
        <v/>
      </c>
      <c r="M776" s="18" t="str">
        <f>IF(J776&lt;&gt;-1,"",ROUND(F776*IFERROR(INDEX(Stocuri!$G$5:$G$204,MATCH(D776,Coduri,0)),0),2))</f>
        <v/>
      </c>
      <c r="N776" s="19" t="str">
        <f t="shared" si="65"/>
        <v/>
      </c>
    </row>
    <row r="777" spans="2:14" x14ac:dyDescent="0.2">
      <c r="B777" s="15"/>
      <c r="C777" s="6"/>
      <c r="D777" s="12"/>
      <c r="E777" s="10" t="str">
        <f t="shared" si="61"/>
        <v/>
      </c>
      <c r="F777" s="16"/>
      <c r="G777" s="13"/>
      <c r="H777" s="6"/>
      <c r="I777" s="6"/>
      <c r="J777" s="11" t="str">
        <f t="shared" si="62"/>
        <v/>
      </c>
      <c r="K777" s="17" t="str">
        <f t="shared" si="63"/>
        <v/>
      </c>
      <c r="L777" s="18" t="str">
        <f t="shared" si="64"/>
        <v/>
      </c>
      <c r="M777" s="18" t="str">
        <f>IF(J777&lt;&gt;-1,"",ROUND(F777*IFERROR(INDEX(Stocuri!$G$5:$G$204,MATCH(D777,Coduri,0)),0),2))</f>
        <v/>
      </c>
      <c r="N777" s="19" t="str">
        <f t="shared" si="65"/>
        <v/>
      </c>
    </row>
    <row r="778" spans="2:14" x14ac:dyDescent="0.2">
      <c r="B778" s="15"/>
      <c r="C778" s="6"/>
      <c r="D778" s="12"/>
      <c r="E778" s="10" t="str">
        <f t="shared" si="61"/>
        <v/>
      </c>
      <c r="F778" s="16"/>
      <c r="G778" s="13"/>
      <c r="H778" s="6"/>
      <c r="I778" s="6"/>
      <c r="J778" s="11" t="str">
        <f t="shared" si="62"/>
        <v/>
      </c>
      <c r="K778" s="17" t="str">
        <f t="shared" si="63"/>
        <v/>
      </c>
      <c r="L778" s="18" t="str">
        <f t="shared" si="64"/>
        <v/>
      </c>
      <c r="M778" s="18" t="str">
        <f>IF(J778&lt;&gt;-1,"",ROUND(F778*IFERROR(INDEX(Stocuri!$G$5:$G$204,MATCH(D778,Coduri,0)),0),2))</f>
        <v/>
      </c>
      <c r="N778" s="19" t="str">
        <f t="shared" si="65"/>
        <v/>
      </c>
    </row>
    <row r="779" spans="2:14" x14ac:dyDescent="0.2">
      <c r="B779" s="15"/>
      <c r="C779" s="6"/>
      <c r="D779" s="12"/>
      <c r="E779" s="10" t="str">
        <f t="shared" si="61"/>
        <v/>
      </c>
      <c r="F779" s="16"/>
      <c r="G779" s="13"/>
      <c r="H779" s="6"/>
      <c r="I779" s="6"/>
      <c r="J779" s="11" t="str">
        <f t="shared" si="62"/>
        <v/>
      </c>
      <c r="K779" s="17" t="str">
        <f t="shared" si="63"/>
        <v/>
      </c>
      <c r="L779" s="18" t="str">
        <f t="shared" si="64"/>
        <v/>
      </c>
      <c r="M779" s="18" t="str">
        <f>IF(J779&lt;&gt;-1,"",ROUND(F779*IFERROR(INDEX(Stocuri!$G$5:$G$204,MATCH(D779,Coduri,0)),0),2))</f>
        <v/>
      </c>
      <c r="N779" s="19" t="str">
        <f t="shared" si="65"/>
        <v/>
      </c>
    </row>
    <row r="780" spans="2:14" x14ac:dyDescent="0.2">
      <c r="B780" s="15"/>
      <c r="C780" s="6"/>
      <c r="D780" s="12"/>
      <c r="E780" s="10" t="str">
        <f t="shared" si="61"/>
        <v/>
      </c>
      <c r="F780" s="16"/>
      <c r="G780" s="13"/>
      <c r="H780" s="6"/>
      <c r="I780" s="6"/>
      <c r="J780" s="11" t="str">
        <f t="shared" si="62"/>
        <v/>
      </c>
      <c r="K780" s="17" t="str">
        <f t="shared" si="63"/>
        <v/>
      </c>
      <c r="L780" s="18" t="str">
        <f t="shared" si="64"/>
        <v/>
      </c>
      <c r="M780" s="18" t="str">
        <f>IF(J780&lt;&gt;-1,"",ROUND(F780*IFERROR(INDEX(Stocuri!$G$5:$G$204,MATCH(D780,Coduri,0)),0),2))</f>
        <v/>
      </c>
      <c r="N780" s="19" t="str">
        <f t="shared" si="65"/>
        <v/>
      </c>
    </row>
    <row r="781" spans="2:14" x14ac:dyDescent="0.2">
      <c r="B781" s="15"/>
      <c r="C781" s="6"/>
      <c r="D781" s="12"/>
      <c r="E781" s="10" t="str">
        <f t="shared" si="61"/>
        <v/>
      </c>
      <c r="F781" s="16"/>
      <c r="G781" s="13"/>
      <c r="H781" s="6"/>
      <c r="I781" s="6"/>
      <c r="J781" s="11" t="str">
        <f t="shared" si="62"/>
        <v/>
      </c>
      <c r="K781" s="17" t="str">
        <f t="shared" si="63"/>
        <v/>
      </c>
      <c r="L781" s="18" t="str">
        <f t="shared" si="64"/>
        <v/>
      </c>
      <c r="M781" s="18" t="str">
        <f>IF(J781&lt;&gt;-1,"",ROUND(F781*IFERROR(INDEX(Stocuri!$G$5:$G$204,MATCH(D781,Coduri,0)),0),2))</f>
        <v/>
      </c>
      <c r="N781" s="19" t="str">
        <f t="shared" si="65"/>
        <v/>
      </c>
    </row>
    <row r="782" spans="2:14" x14ac:dyDescent="0.2">
      <c r="B782" s="15"/>
      <c r="C782" s="6"/>
      <c r="D782" s="12"/>
      <c r="E782" s="10" t="str">
        <f t="shared" si="61"/>
        <v/>
      </c>
      <c r="F782" s="16"/>
      <c r="G782" s="13"/>
      <c r="H782" s="6"/>
      <c r="I782" s="6"/>
      <c r="J782" s="11" t="str">
        <f t="shared" si="62"/>
        <v/>
      </c>
      <c r="K782" s="17" t="str">
        <f t="shared" si="63"/>
        <v/>
      </c>
      <c r="L782" s="18" t="str">
        <f t="shared" si="64"/>
        <v/>
      </c>
      <c r="M782" s="18" t="str">
        <f>IF(J782&lt;&gt;-1,"",ROUND(F782*IFERROR(INDEX(Stocuri!$G$5:$G$204,MATCH(D782,Coduri,0)),0),2))</f>
        <v/>
      </c>
      <c r="N782" s="19" t="str">
        <f t="shared" si="65"/>
        <v/>
      </c>
    </row>
    <row r="783" spans="2:14" x14ac:dyDescent="0.2">
      <c r="B783" s="15"/>
      <c r="C783" s="6"/>
      <c r="D783" s="12"/>
      <c r="E783" s="10" t="str">
        <f t="shared" si="61"/>
        <v/>
      </c>
      <c r="F783" s="16"/>
      <c r="G783" s="13"/>
      <c r="H783" s="6"/>
      <c r="I783" s="6"/>
      <c r="J783" s="11" t="str">
        <f t="shared" si="62"/>
        <v/>
      </c>
      <c r="K783" s="17" t="str">
        <f t="shared" si="63"/>
        <v/>
      </c>
      <c r="L783" s="18" t="str">
        <f t="shared" si="64"/>
        <v/>
      </c>
      <c r="M783" s="18" t="str">
        <f>IF(J783&lt;&gt;-1,"",ROUND(F783*IFERROR(INDEX(Stocuri!$G$5:$G$204,MATCH(D783,Coduri,0)),0),2))</f>
        <v/>
      </c>
      <c r="N783" s="19" t="str">
        <f t="shared" si="65"/>
        <v/>
      </c>
    </row>
    <row r="784" spans="2:14" x14ac:dyDescent="0.2">
      <c r="B784" s="15"/>
      <c r="C784" s="6"/>
      <c r="D784" s="12"/>
      <c r="E784" s="10" t="str">
        <f t="shared" si="61"/>
        <v/>
      </c>
      <c r="F784" s="16"/>
      <c r="G784" s="13"/>
      <c r="H784" s="6"/>
      <c r="I784" s="6"/>
      <c r="J784" s="11" t="str">
        <f t="shared" si="62"/>
        <v/>
      </c>
      <c r="K784" s="17" t="str">
        <f t="shared" si="63"/>
        <v/>
      </c>
      <c r="L784" s="18" t="str">
        <f t="shared" si="64"/>
        <v/>
      </c>
      <c r="M784" s="18" t="str">
        <f>IF(J784&lt;&gt;-1,"",ROUND(F784*IFERROR(INDEX(Stocuri!$G$5:$G$204,MATCH(D784,Coduri,0)),0),2))</f>
        <v/>
      </c>
      <c r="N784" s="19" t="str">
        <f t="shared" si="65"/>
        <v/>
      </c>
    </row>
    <row r="785" spans="2:14" x14ac:dyDescent="0.2">
      <c r="B785" s="15"/>
      <c r="C785" s="6"/>
      <c r="D785" s="12"/>
      <c r="E785" s="10" t="str">
        <f t="shared" si="61"/>
        <v/>
      </c>
      <c r="F785" s="16"/>
      <c r="G785" s="13"/>
      <c r="H785" s="6"/>
      <c r="I785" s="6"/>
      <c r="J785" s="11" t="str">
        <f t="shared" si="62"/>
        <v/>
      </c>
      <c r="K785" s="17" t="str">
        <f t="shared" si="63"/>
        <v/>
      </c>
      <c r="L785" s="18" t="str">
        <f t="shared" si="64"/>
        <v/>
      </c>
      <c r="M785" s="18" t="str">
        <f>IF(J785&lt;&gt;-1,"",ROUND(F785*IFERROR(INDEX(Stocuri!$G$5:$G$204,MATCH(D785,Coduri,0)),0),2))</f>
        <v/>
      </c>
      <c r="N785" s="19" t="str">
        <f t="shared" si="65"/>
        <v/>
      </c>
    </row>
    <row r="786" spans="2:14" x14ac:dyDescent="0.2">
      <c r="B786" s="15"/>
      <c r="C786" s="6"/>
      <c r="D786" s="12"/>
      <c r="E786" s="10" t="str">
        <f t="shared" si="61"/>
        <v/>
      </c>
      <c r="F786" s="16"/>
      <c r="G786" s="13"/>
      <c r="H786" s="6"/>
      <c r="I786" s="6"/>
      <c r="J786" s="11" t="str">
        <f t="shared" si="62"/>
        <v/>
      </c>
      <c r="K786" s="17" t="str">
        <f t="shared" si="63"/>
        <v/>
      </c>
      <c r="L786" s="18" t="str">
        <f t="shared" si="64"/>
        <v/>
      </c>
      <c r="M786" s="18" t="str">
        <f>IF(J786&lt;&gt;-1,"",ROUND(F786*IFERROR(INDEX(Stocuri!$G$5:$G$204,MATCH(D786,Coduri,0)),0),2))</f>
        <v/>
      </c>
      <c r="N786" s="19" t="str">
        <f t="shared" si="65"/>
        <v/>
      </c>
    </row>
    <row r="787" spans="2:14" x14ac:dyDescent="0.2">
      <c r="B787" s="15"/>
      <c r="C787" s="6"/>
      <c r="D787" s="12"/>
      <c r="E787" s="10" t="str">
        <f t="shared" si="61"/>
        <v/>
      </c>
      <c r="F787" s="16"/>
      <c r="G787" s="13"/>
      <c r="H787" s="6"/>
      <c r="I787" s="6"/>
      <c r="J787" s="11" t="str">
        <f t="shared" si="62"/>
        <v/>
      </c>
      <c r="K787" s="17" t="str">
        <f t="shared" si="63"/>
        <v/>
      </c>
      <c r="L787" s="18" t="str">
        <f t="shared" si="64"/>
        <v/>
      </c>
      <c r="M787" s="18" t="str">
        <f>IF(J787&lt;&gt;-1,"",ROUND(F787*IFERROR(INDEX(Stocuri!$G$5:$G$204,MATCH(D787,Coduri,0)),0),2))</f>
        <v/>
      </c>
      <c r="N787" s="19" t="str">
        <f t="shared" si="65"/>
        <v/>
      </c>
    </row>
    <row r="788" spans="2:14" x14ac:dyDescent="0.2">
      <c r="B788" s="15"/>
      <c r="C788" s="6"/>
      <c r="D788" s="12"/>
      <c r="E788" s="10" t="str">
        <f t="shared" si="61"/>
        <v/>
      </c>
      <c r="F788" s="16"/>
      <c r="G788" s="13"/>
      <c r="H788" s="6"/>
      <c r="I788" s="6"/>
      <c r="J788" s="11" t="str">
        <f t="shared" si="62"/>
        <v/>
      </c>
      <c r="K788" s="17" t="str">
        <f t="shared" si="63"/>
        <v/>
      </c>
      <c r="L788" s="18" t="str">
        <f t="shared" si="64"/>
        <v/>
      </c>
      <c r="M788" s="18" t="str">
        <f>IF(J788&lt;&gt;-1,"",ROUND(F788*IFERROR(INDEX(Stocuri!$G$5:$G$204,MATCH(D788,Coduri,0)),0),2))</f>
        <v/>
      </c>
      <c r="N788" s="19" t="str">
        <f t="shared" si="65"/>
        <v/>
      </c>
    </row>
    <row r="789" spans="2:14" x14ac:dyDescent="0.2">
      <c r="B789" s="15"/>
      <c r="C789" s="6"/>
      <c r="D789" s="12"/>
      <c r="E789" s="10" t="str">
        <f t="shared" si="61"/>
        <v/>
      </c>
      <c r="F789" s="16"/>
      <c r="G789" s="13"/>
      <c r="H789" s="6"/>
      <c r="I789" s="6"/>
      <c r="J789" s="11" t="str">
        <f t="shared" si="62"/>
        <v/>
      </c>
      <c r="K789" s="17" t="str">
        <f t="shared" si="63"/>
        <v/>
      </c>
      <c r="L789" s="18" t="str">
        <f t="shared" si="64"/>
        <v/>
      </c>
      <c r="M789" s="18" t="str">
        <f>IF(J789&lt;&gt;-1,"",ROUND(F789*IFERROR(INDEX(Stocuri!$G$5:$G$204,MATCH(D789,Coduri,0)),0),2))</f>
        <v/>
      </c>
      <c r="N789" s="19" t="str">
        <f t="shared" si="65"/>
        <v/>
      </c>
    </row>
    <row r="790" spans="2:14" x14ac:dyDescent="0.2">
      <c r="B790" s="15"/>
      <c r="C790" s="6"/>
      <c r="D790" s="12"/>
      <c r="E790" s="10" t="str">
        <f t="shared" si="61"/>
        <v/>
      </c>
      <c r="F790" s="16"/>
      <c r="G790" s="13"/>
      <c r="H790" s="6"/>
      <c r="I790" s="6"/>
      <c r="J790" s="11" t="str">
        <f t="shared" si="62"/>
        <v/>
      </c>
      <c r="K790" s="17" t="str">
        <f t="shared" si="63"/>
        <v/>
      </c>
      <c r="L790" s="18" t="str">
        <f t="shared" si="64"/>
        <v/>
      </c>
      <c r="M790" s="18" t="str">
        <f>IF(J790&lt;&gt;-1,"",ROUND(F790*IFERROR(INDEX(Stocuri!$G$5:$G$204,MATCH(D790,Coduri,0)),0),2))</f>
        <v/>
      </c>
      <c r="N790" s="19" t="str">
        <f t="shared" si="65"/>
        <v/>
      </c>
    </row>
    <row r="791" spans="2:14" x14ac:dyDescent="0.2">
      <c r="B791" s="15"/>
      <c r="C791" s="6"/>
      <c r="D791" s="12"/>
      <c r="E791" s="10" t="str">
        <f t="shared" si="61"/>
        <v/>
      </c>
      <c r="F791" s="16"/>
      <c r="G791" s="13"/>
      <c r="H791" s="6"/>
      <c r="I791" s="6"/>
      <c r="J791" s="11" t="str">
        <f t="shared" si="62"/>
        <v/>
      </c>
      <c r="K791" s="17" t="str">
        <f t="shared" si="63"/>
        <v/>
      </c>
      <c r="L791" s="18" t="str">
        <f t="shared" si="64"/>
        <v/>
      </c>
      <c r="M791" s="18" t="str">
        <f>IF(J791&lt;&gt;-1,"",ROUND(F791*IFERROR(INDEX(Stocuri!$G$5:$G$204,MATCH(D791,Coduri,0)),0),2))</f>
        <v/>
      </c>
      <c r="N791" s="19" t="str">
        <f t="shared" si="65"/>
        <v/>
      </c>
    </row>
    <row r="792" spans="2:14" x14ac:dyDescent="0.2">
      <c r="B792" s="15"/>
      <c r="C792" s="6"/>
      <c r="D792" s="12"/>
      <c r="E792" s="10" t="str">
        <f t="shared" si="61"/>
        <v/>
      </c>
      <c r="F792" s="16"/>
      <c r="G792" s="13"/>
      <c r="H792" s="6"/>
      <c r="I792" s="6"/>
      <c r="J792" s="11" t="str">
        <f t="shared" si="62"/>
        <v/>
      </c>
      <c r="K792" s="17" t="str">
        <f t="shared" si="63"/>
        <v/>
      </c>
      <c r="L792" s="18" t="str">
        <f t="shared" si="64"/>
        <v/>
      </c>
      <c r="M792" s="18" t="str">
        <f>IF(J792&lt;&gt;-1,"",ROUND(F792*IFERROR(INDEX(Stocuri!$G$5:$G$204,MATCH(D792,Coduri,0)),0),2))</f>
        <v/>
      </c>
      <c r="N792" s="19" t="str">
        <f t="shared" si="65"/>
        <v/>
      </c>
    </row>
    <row r="793" spans="2:14" x14ac:dyDescent="0.2">
      <c r="B793" s="15"/>
      <c r="C793" s="6"/>
      <c r="D793" s="12"/>
      <c r="E793" s="10" t="str">
        <f t="shared" si="61"/>
        <v/>
      </c>
      <c r="F793" s="16"/>
      <c r="G793" s="13"/>
      <c r="H793" s="6"/>
      <c r="I793" s="6"/>
      <c r="J793" s="11" t="str">
        <f t="shared" si="62"/>
        <v/>
      </c>
      <c r="K793" s="17" t="str">
        <f t="shared" si="63"/>
        <v/>
      </c>
      <c r="L793" s="18" t="str">
        <f t="shared" si="64"/>
        <v/>
      </c>
      <c r="M793" s="18" t="str">
        <f>IF(J793&lt;&gt;-1,"",ROUND(F793*IFERROR(INDEX(Stocuri!$G$5:$G$204,MATCH(D793,Coduri,0)),0),2))</f>
        <v/>
      </c>
      <c r="N793" s="19" t="str">
        <f t="shared" si="65"/>
        <v/>
      </c>
    </row>
    <row r="794" spans="2:14" x14ac:dyDescent="0.2">
      <c r="B794" s="15"/>
      <c r="C794" s="6"/>
      <c r="D794" s="12"/>
      <c r="E794" s="10" t="str">
        <f t="shared" si="61"/>
        <v/>
      </c>
      <c r="F794" s="16"/>
      <c r="G794" s="13"/>
      <c r="H794" s="6"/>
      <c r="I794" s="6"/>
      <c r="J794" s="11" t="str">
        <f t="shared" si="62"/>
        <v/>
      </c>
      <c r="K794" s="17" t="str">
        <f t="shared" si="63"/>
        <v/>
      </c>
      <c r="L794" s="18" t="str">
        <f t="shared" si="64"/>
        <v/>
      </c>
      <c r="M794" s="18" t="str">
        <f>IF(J794&lt;&gt;-1,"",ROUND(F794*IFERROR(INDEX(Stocuri!$G$5:$G$204,MATCH(D794,Coduri,0)),0),2))</f>
        <v/>
      </c>
      <c r="N794" s="19" t="str">
        <f t="shared" si="65"/>
        <v/>
      </c>
    </row>
    <row r="795" spans="2:14" x14ac:dyDescent="0.2">
      <c r="B795" s="15"/>
      <c r="C795" s="6"/>
      <c r="D795" s="12"/>
      <c r="E795" s="10" t="str">
        <f t="shared" si="61"/>
        <v/>
      </c>
      <c r="F795" s="16"/>
      <c r="G795" s="13"/>
      <c r="H795" s="6"/>
      <c r="I795" s="6"/>
      <c r="J795" s="11" t="str">
        <f t="shared" si="62"/>
        <v/>
      </c>
      <c r="K795" s="17" t="str">
        <f t="shared" si="63"/>
        <v/>
      </c>
      <c r="L795" s="18" t="str">
        <f t="shared" si="64"/>
        <v/>
      </c>
      <c r="M795" s="18" t="str">
        <f>IF(J795&lt;&gt;-1,"",ROUND(F795*IFERROR(INDEX(Stocuri!$G$5:$G$204,MATCH(D795,Coduri,0)),0),2))</f>
        <v/>
      </c>
      <c r="N795" s="19" t="str">
        <f t="shared" si="65"/>
        <v/>
      </c>
    </row>
    <row r="796" spans="2:14" x14ac:dyDescent="0.2">
      <c r="B796" s="15"/>
      <c r="C796" s="6"/>
      <c r="D796" s="12"/>
      <c r="E796" s="10" t="str">
        <f t="shared" si="61"/>
        <v/>
      </c>
      <c r="F796" s="16"/>
      <c r="G796" s="13"/>
      <c r="H796" s="6"/>
      <c r="I796" s="6"/>
      <c r="J796" s="11" t="str">
        <f t="shared" si="62"/>
        <v/>
      </c>
      <c r="K796" s="17" t="str">
        <f t="shared" si="63"/>
        <v/>
      </c>
      <c r="L796" s="18" t="str">
        <f t="shared" si="64"/>
        <v/>
      </c>
      <c r="M796" s="18" t="str">
        <f>IF(J796&lt;&gt;-1,"",ROUND(F796*IFERROR(INDEX(Stocuri!$G$5:$G$204,MATCH(D796,Coduri,0)),0),2))</f>
        <v/>
      </c>
      <c r="N796" s="19" t="str">
        <f t="shared" si="65"/>
        <v/>
      </c>
    </row>
    <row r="797" spans="2:14" x14ac:dyDescent="0.2">
      <c r="B797" s="15"/>
      <c r="C797" s="6"/>
      <c r="D797" s="12"/>
      <c r="E797" s="10" t="str">
        <f t="shared" si="61"/>
        <v/>
      </c>
      <c r="F797" s="16"/>
      <c r="G797" s="13"/>
      <c r="H797" s="6"/>
      <c r="I797" s="6"/>
      <c r="J797" s="11" t="str">
        <f t="shared" si="62"/>
        <v/>
      </c>
      <c r="K797" s="17" t="str">
        <f t="shared" si="63"/>
        <v/>
      </c>
      <c r="L797" s="18" t="str">
        <f t="shared" si="64"/>
        <v/>
      </c>
      <c r="M797" s="18" t="str">
        <f>IF(J797&lt;&gt;-1,"",ROUND(F797*IFERROR(INDEX(Stocuri!$G$5:$G$204,MATCH(D797,Coduri,0)),0),2))</f>
        <v/>
      </c>
      <c r="N797" s="19" t="str">
        <f t="shared" si="65"/>
        <v/>
      </c>
    </row>
    <row r="798" spans="2:14" x14ac:dyDescent="0.2">
      <c r="B798" s="15"/>
      <c r="C798" s="6"/>
      <c r="D798" s="12"/>
      <c r="E798" s="10" t="str">
        <f t="shared" si="61"/>
        <v/>
      </c>
      <c r="F798" s="16"/>
      <c r="G798" s="13"/>
      <c r="H798" s="6"/>
      <c r="I798" s="6"/>
      <c r="J798" s="11" t="str">
        <f t="shared" si="62"/>
        <v/>
      </c>
      <c r="K798" s="17" t="str">
        <f t="shared" si="63"/>
        <v/>
      </c>
      <c r="L798" s="18" t="str">
        <f t="shared" si="64"/>
        <v/>
      </c>
      <c r="M798" s="18" t="str">
        <f>IF(J798&lt;&gt;-1,"",ROUND(F798*IFERROR(INDEX(Stocuri!$G$5:$G$204,MATCH(D798,Coduri,0)),0),2))</f>
        <v/>
      </c>
      <c r="N798" s="19" t="str">
        <f t="shared" si="65"/>
        <v/>
      </c>
    </row>
    <row r="799" spans="2:14" x14ac:dyDescent="0.2">
      <c r="B799" s="15"/>
      <c r="C799" s="6"/>
      <c r="D799" s="12"/>
      <c r="E799" s="10" t="str">
        <f t="shared" si="61"/>
        <v/>
      </c>
      <c r="F799" s="16"/>
      <c r="G799" s="13"/>
      <c r="H799" s="6"/>
      <c r="I799" s="6"/>
      <c r="J799" s="11" t="str">
        <f t="shared" si="62"/>
        <v/>
      </c>
      <c r="K799" s="17" t="str">
        <f t="shared" si="63"/>
        <v/>
      </c>
      <c r="L799" s="18" t="str">
        <f t="shared" si="64"/>
        <v/>
      </c>
      <c r="M799" s="18" t="str">
        <f>IF(J799&lt;&gt;-1,"",ROUND(F799*IFERROR(INDEX(Stocuri!$G$5:$G$204,MATCH(D799,Coduri,0)),0),2))</f>
        <v/>
      </c>
      <c r="N799" s="19" t="str">
        <f t="shared" si="65"/>
        <v/>
      </c>
    </row>
    <row r="800" spans="2:14" x14ac:dyDescent="0.2">
      <c r="B800" s="15"/>
      <c r="C800" s="6"/>
      <c r="D800" s="12"/>
      <c r="E800" s="10" t="str">
        <f t="shared" si="61"/>
        <v/>
      </c>
      <c r="F800" s="16"/>
      <c r="G800" s="13"/>
      <c r="H800" s="6"/>
      <c r="I800" s="6"/>
      <c r="J800" s="11" t="str">
        <f t="shared" si="62"/>
        <v/>
      </c>
      <c r="K800" s="17" t="str">
        <f t="shared" si="63"/>
        <v/>
      </c>
      <c r="L800" s="18" t="str">
        <f t="shared" si="64"/>
        <v/>
      </c>
      <c r="M800" s="18" t="str">
        <f>IF(J800&lt;&gt;-1,"",ROUND(F800*IFERROR(INDEX(Stocuri!$G$5:$G$204,MATCH(D800,Coduri,0)),0),2))</f>
        <v/>
      </c>
      <c r="N800" s="19" t="str">
        <f t="shared" si="65"/>
        <v/>
      </c>
    </row>
    <row r="801" spans="2:14" x14ac:dyDescent="0.2">
      <c r="B801" s="15"/>
      <c r="C801" s="6"/>
      <c r="D801" s="12"/>
      <c r="E801" s="10" t="str">
        <f t="shared" si="61"/>
        <v/>
      </c>
      <c r="F801" s="16"/>
      <c r="G801" s="13"/>
      <c r="H801" s="6"/>
      <c r="I801" s="6"/>
      <c r="J801" s="11" t="str">
        <f t="shared" si="62"/>
        <v/>
      </c>
      <c r="K801" s="17" t="str">
        <f t="shared" si="63"/>
        <v/>
      </c>
      <c r="L801" s="18" t="str">
        <f t="shared" si="64"/>
        <v/>
      </c>
      <c r="M801" s="18" t="str">
        <f>IF(J801&lt;&gt;-1,"",ROUND(F801*IFERROR(INDEX(Stocuri!$G$5:$G$204,MATCH(D801,Coduri,0)),0),2))</f>
        <v/>
      </c>
      <c r="N801" s="19" t="str">
        <f t="shared" si="65"/>
        <v/>
      </c>
    </row>
    <row r="802" spans="2:14" x14ac:dyDescent="0.2">
      <c r="B802" s="15"/>
      <c r="C802" s="6"/>
      <c r="D802" s="12"/>
      <c r="E802" s="10" t="str">
        <f t="shared" si="61"/>
        <v/>
      </c>
      <c r="F802" s="16"/>
      <c r="G802" s="13"/>
      <c r="H802" s="6"/>
      <c r="I802" s="6"/>
      <c r="J802" s="11" t="str">
        <f t="shared" si="62"/>
        <v/>
      </c>
      <c r="K802" s="17" t="str">
        <f t="shared" si="63"/>
        <v/>
      </c>
      <c r="L802" s="18" t="str">
        <f t="shared" si="64"/>
        <v/>
      </c>
      <c r="M802" s="18" t="str">
        <f>IF(J802&lt;&gt;-1,"",ROUND(F802*IFERROR(INDEX(Stocuri!$G$5:$G$204,MATCH(D802,Coduri,0)),0),2))</f>
        <v/>
      </c>
      <c r="N802" s="19" t="str">
        <f t="shared" si="65"/>
        <v/>
      </c>
    </row>
    <row r="803" spans="2:14" x14ac:dyDescent="0.2">
      <c r="B803" s="15"/>
      <c r="C803" s="6"/>
      <c r="D803" s="12"/>
      <c r="E803" s="10" t="str">
        <f t="shared" si="61"/>
        <v/>
      </c>
      <c r="F803" s="16"/>
      <c r="G803" s="13"/>
      <c r="H803" s="6"/>
      <c r="I803" s="6"/>
      <c r="J803" s="11" t="str">
        <f t="shared" si="62"/>
        <v/>
      </c>
      <c r="K803" s="17" t="str">
        <f t="shared" si="63"/>
        <v/>
      </c>
      <c r="L803" s="18" t="str">
        <f t="shared" si="64"/>
        <v/>
      </c>
      <c r="M803" s="18" t="str">
        <f>IF(J803&lt;&gt;-1,"",ROUND(F803*IFERROR(INDEX(Stocuri!$G$5:$G$204,MATCH(D803,Coduri,0)),0),2))</f>
        <v/>
      </c>
      <c r="N803" s="19" t="str">
        <f t="shared" si="65"/>
        <v/>
      </c>
    </row>
    <row r="804" spans="2:14" x14ac:dyDescent="0.2">
      <c r="B804" s="15"/>
      <c r="C804" s="6"/>
      <c r="D804" s="12"/>
      <c r="E804" s="10" t="str">
        <f t="shared" si="61"/>
        <v/>
      </c>
      <c r="F804" s="16"/>
      <c r="G804" s="13"/>
      <c r="H804" s="6"/>
      <c r="I804" s="6"/>
      <c r="J804" s="11" t="str">
        <f t="shared" si="62"/>
        <v/>
      </c>
      <c r="K804" s="17" t="str">
        <f t="shared" si="63"/>
        <v/>
      </c>
      <c r="L804" s="18" t="str">
        <f t="shared" si="64"/>
        <v/>
      </c>
      <c r="M804" s="18" t="str">
        <f>IF(J804&lt;&gt;-1,"",ROUND(F804*IFERROR(INDEX(Stocuri!$G$5:$G$204,MATCH(D804,Coduri,0)),0),2))</f>
        <v/>
      </c>
      <c r="N804" s="19" t="str">
        <f t="shared" si="65"/>
        <v/>
      </c>
    </row>
    <row r="805" spans="2:14" x14ac:dyDescent="0.2">
      <c r="B805" s="15"/>
      <c r="C805" s="6"/>
      <c r="D805" s="12"/>
      <c r="E805" s="10" t="str">
        <f t="shared" si="61"/>
        <v/>
      </c>
      <c r="F805" s="16"/>
      <c r="G805" s="13"/>
      <c r="H805" s="6"/>
      <c r="I805" s="6"/>
      <c r="J805" s="11" t="str">
        <f t="shared" si="62"/>
        <v/>
      </c>
      <c r="K805" s="17" t="str">
        <f t="shared" si="63"/>
        <v/>
      </c>
      <c r="L805" s="18" t="str">
        <f t="shared" si="64"/>
        <v/>
      </c>
      <c r="M805" s="18" t="str">
        <f>IF(J805&lt;&gt;-1,"",ROUND(F805*IFERROR(INDEX(Stocuri!$G$5:$G$204,MATCH(D805,Coduri,0)),0),2))</f>
        <v/>
      </c>
      <c r="N805" s="19" t="str">
        <f t="shared" si="65"/>
        <v/>
      </c>
    </row>
    <row r="806" spans="2:14" x14ac:dyDescent="0.2">
      <c r="B806" s="15"/>
      <c r="C806" s="6"/>
      <c r="D806" s="12"/>
      <c r="E806" s="10" t="str">
        <f t="shared" si="61"/>
        <v/>
      </c>
      <c r="F806" s="16"/>
      <c r="G806" s="13"/>
      <c r="H806" s="6"/>
      <c r="I806" s="6"/>
      <c r="J806" s="11" t="str">
        <f t="shared" si="62"/>
        <v/>
      </c>
      <c r="K806" s="17" t="str">
        <f t="shared" si="63"/>
        <v/>
      </c>
      <c r="L806" s="18" t="str">
        <f t="shared" si="64"/>
        <v/>
      </c>
      <c r="M806" s="18" t="str">
        <f>IF(J806&lt;&gt;-1,"",ROUND(F806*IFERROR(INDEX(Stocuri!$G$5:$G$204,MATCH(D806,Coduri,0)),0),2))</f>
        <v/>
      </c>
      <c r="N806" s="19" t="str">
        <f t="shared" si="65"/>
        <v/>
      </c>
    </row>
    <row r="807" spans="2:14" x14ac:dyDescent="0.2">
      <c r="B807" s="15"/>
      <c r="C807" s="6"/>
      <c r="D807" s="12"/>
      <c r="E807" s="10" t="str">
        <f t="shared" si="61"/>
        <v/>
      </c>
      <c r="F807" s="16"/>
      <c r="G807" s="13"/>
      <c r="H807" s="6"/>
      <c r="I807" s="6"/>
      <c r="J807" s="11" t="str">
        <f t="shared" si="62"/>
        <v/>
      </c>
      <c r="K807" s="17" t="str">
        <f t="shared" si="63"/>
        <v/>
      </c>
      <c r="L807" s="18" t="str">
        <f t="shared" si="64"/>
        <v/>
      </c>
      <c r="M807" s="18" t="str">
        <f>IF(J807&lt;&gt;-1,"",ROUND(F807*IFERROR(INDEX(Stocuri!$G$5:$G$204,MATCH(D807,Coduri,0)),0),2))</f>
        <v/>
      </c>
      <c r="N807" s="19" t="str">
        <f t="shared" si="65"/>
        <v/>
      </c>
    </row>
    <row r="808" spans="2:14" x14ac:dyDescent="0.2">
      <c r="B808" s="15"/>
      <c r="C808" s="6"/>
      <c r="D808" s="12"/>
      <c r="E808" s="10" t="str">
        <f t="shared" si="61"/>
        <v/>
      </c>
      <c r="F808" s="16"/>
      <c r="G808" s="13"/>
      <c r="H808" s="6"/>
      <c r="I808" s="6"/>
      <c r="J808" s="11" t="str">
        <f t="shared" si="62"/>
        <v/>
      </c>
      <c r="K808" s="17" t="str">
        <f t="shared" si="63"/>
        <v/>
      </c>
      <c r="L808" s="18" t="str">
        <f t="shared" si="64"/>
        <v/>
      </c>
      <c r="M808" s="18" t="str">
        <f>IF(J808&lt;&gt;-1,"",ROUND(F808*IFERROR(INDEX(Stocuri!$G$5:$G$204,MATCH(D808,Coduri,0)),0),2))</f>
        <v/>
      </c>
      <c r="N808" s="19" t="str">
        <f t="shared" si="65"/>
        <v/>
      </c>
    </row>
    <row r="809" spans="2:14" x14ac:dyDescent="0.2">
      <c r="B809" s="15"/>
      <c r="C809" s="6"/>
      <c r="D809" s="12"/>
      <c r="E809" s="10" t="str">
        <f t="shared" si="61"/>
        <v/>
      </c>
      <c r="F809" s="16"/>
      <c r="G809" s="13"/>
      <c r="H809" s="6"/>
      <c r="I809" s="6"/>
      <c r="J809" s="11" t="str">
        <f t="shared" si="62"/>
        <v/>
      </c>
      <c r="K809" s="17" t="str">
        <f t="shared" si="63"/>
        <v/>
      </c>
      <c r="L809" s="18" t="str">
        <f t="shared" si="64"/>
        <v/>
      </c>
      <c r="M809" s="18" t="str">
        <f>IF(J809&lt;&gt;-1,"",ROUND(F809*IFERROR(INDEX(Stocuri!$G$5:$G$204,MATCH(D809,Coduri,0)),0),2))</f>
        <v/>
      </c>
      <c r="N809" s="19" t="str">
        <f t="shared" si="65"/>
        <v/>
      </c>
    </row>
    <row r="810" spans="2:14" x14ac:dyDescent="0.2">
      <c r="B810" s="15"/>
      <c r="C810" s="6"/>
      <c r="D810" s="12"/>
      <c r="E810" s="10" t="str">
        <f t="shared" si="61"/>
        <v/>
      </c>
      <c r="F810" s="16"/>
      <c r="G810" s="13"/>
      <c r="H810" s="6"/>
      <c r="I810" s="6"/>
      <c r="J810" s="11" t="str">
        <f t="shared" si="62"/>
        <v/>
      </c>
      <c r="K810" s="17" t="str">
        <f t="shared" si="63"/>
        <v/>
      </c>
      <c r="L810" s="18" t="str">
        <f t="shared" si="64"/>
        <v/>
      </c>
      <c r="M810" s="18" t="str">
        <f>IF(J810&lt;&gt;-1,"",ROUND(F810*IFERROR(INDEX(Stocuri!$G$5:$G$204,MATCH(D810,Coduri,0)),0),2))</f>
        <v/>
      </c>
      <c r="N810" s="19" t="str">
        <f t="shared" si="65"/>
        <v/>
      </c>
    </row>
    <row r="811" spans="2:14" x14ac:dyDescent="0.2">
      <c r="B811" s="15"/>
      <c r="C811" s="6"/>
      <c r="D811" s="12"/>
      <c r="E811" s="10" t="str">
        <f t="shared" si="61"/>
        <v/>
      </c>
      <c r="F811" s="16"/>
      <c r="G811" s="13"/>
      <c r="H811" s="6"/>
      <c r="I811" s="6"/>
      <c r="J811" s="11" t="str">
        <f t="shared" si="62"/>
        <v/>
      </c>
      <c r="K811" s="17" t="str">
        <f t="shared" si="63"/>
        <v/>
      </c>
      <c r="L811" s="18" t="str">
        <f t="shared" si="64"/>
        <v/>
      </c>
      <c r="M811" s="18" t="str">
        <f>IF(J811&lt;&gt;-1,"",ROUND(F811*IFERROR(INDEX(Stocuri!$G$5:$G$204,MATCH(D811,Coduri,0)),0),2))</f>
        <v/>
      </c>
      <c r="N811" s="19" t="str">
        <f t="shared" si="65"/>
        <v/>
      </c>
    </row>
    <row r="812" spans="2:14" x14ac:dyDescent="0.2">
      <c r="B812" s="15"/>
      <c r="C812" s="6"/>
      <c r="D812" s="12"/>
      <c r="E812" s="10" t="str">
        <f t="shared" si="61"/>
        <v/>
      </c>
      <c r="F812" s="16"/>
      <c r="G812" s="13"/>
      <c r="H812" s="6"/>
      <c r="I812" s="6"/>
      <c r="J812" s="11" t="str">
        <f t="shared" si="62"/>
        <v/>
      </c>
      <c r="K812" s="17" t="str">
        <f t="shared" si="63"/>
        <v/>
      </c>
      <c r="L812" s="18" t="str">
        <f t="shared" si="64"/>
        <v/>
      </c>
      <c r="M812" s="18" t="str">
        <f>IF(J812&lt;&gt;-1,"",ROUND(F812*IFERROR(INDEX(Stocuri!$G$5:$G$204,MATCH(D812,Coduri,0)),0),2))</f>
        <v/>
      </c>
      <c r="N812" s="19" t="str">
        <f t="shared" si="65"/>
        <v/>
      </c>
    </row>
    <row r="813" spans="2:14" x14ac:dyDescent="0.2">
      <c r="B813" s="15"/>
      <c r="C813" s="6"/>
      <c r="D813" s="12"/>
      <c r="E813" s="10" t="str">
        <f t="shared" si="61"/>
        <v/>
      </c>
      <c r="F813" s="16"/>
      <c r="G813" s="13"/>
      <c r="H813" s="6"/>
      <c r="I813" s="6"/>
      <c r="J813" s="11" t="str">
        <f t="shared" si="62"/>
        <v/>
      </c>
      <c r="K813" s="17" t="str">
        <f t="shared" si="63"/>
        <v/>
      </c>
      <c r="L813" s="18" t="str">
        <f t="shared" si="64"/>
        <v/>
      </c>
      <c r="M813" s="18" t="str">
        <f>IF(J813&lt;&gt;-1,"",ROUND(F813*IFERROR(INDEX(Stocuri!$G$5:$G$204,MATCH(D813,Coduri,0)),0),2))</f>
        <v/>
      </c>
      <c r="N813" s="19" t="str">
        <f t="shared" si="65"/>
        <v/>
      </c>
    </row>
    <row r="814" spans="2:14" x14ac:dyDescent="0.2">
      <c r="B814" s="15"/>
      <c r="C814" s="6"/>
      <c r="D814" s="12"/>
      <c r="E814" s="10" t="str">
        <f t="shared" si="61"/>
        <v/>
      </c>
      <c r="F814" s="16"/>
      <c r="G814" s="13"/>
      <c r="H814" s="6"/>
      <c r="I814" s="6"/>
      <c r="J814" s="11" t="str">
        <f t="shared" si="62"/>
        <v/>
      </c>
      <c r="K814" s="17" t="str">
        <f t="shared" si="63"/>
        <v/>
      </c>
      <c r="L814" s="18" t="str">
        <f t="shared" si="64"/>
        <v/>
      </c>
      <c r="M814" s="18" t="str">
        <f>IF(J814&lt;&gt;-1,"",ROUND(F814*IFERROR(INDEX(Stocuri!$G$5:$G$204,MATCH(D814,Coduri,0)),0),2))</f>
        <v/>
      </c>
      <c r="N814" s="19" t="str">
        <f t="shared" si="65"/>
        <v/>
      </c>
    </row>
    <row r="815" spans="2:14" x14ac:dyDescent="0.2">
      <c r="B815" s="15"/>
      <c r="C815" s="6"/>
      <c r="D815" s="12"/>
      <c r="E815" s="10" t="str">
        <f t="shared" si="61"/>
        <v/>
      </c>
      <c r="F815" s="16"/>
      <c r="G815" s="13"/>
      <c r="H815" s="6"/>
      <c r="I815" s="6"/>
      <c r="J815" s="11" t="str">
        <f t="shared" si="62"/>
        <v/>
      </c>
      <c r="K815" s="17" t="str">
        <f t="shared" si="63"/>
        <v/>
      </c>
      <c r="L815" s="18" t="str">
        <f t="shared" si="64"/>
        <v/>
      </c>
      <c r="M815" s="18" t="str">
        <f>IF(J815&lt;&gt;-1,"",ROUND(F815*IFERROR(INDEX(Stocuri!$G$5:$G$204,MATCH(D815,Coduri,0)),0),2))</f>
        <v/>
      </c>
      <c r="N815" s="19" t="str">
        <f t="shared" si="65"/>
        <v/>
      </c>
    </row>
    <row r="816" spans="2:14" x14ac:dyDescent="0.2">
      <c r="B816" s="15"/>
      <c r="C816" s="6"/>
      <c r="D816" s="12"/>
      <c r="E816" s="10" t="str">
        <f t="shared" si="61"/>
        <v/>
      </c>
      <c r="F816" s="16"/>
      <c r="G816" s="13"/>
      <c r="H816" s="6"/>
      <c r="I816" s="6"/>
      <c r="J816" s="11" t="str">
        <f t="shared" si="62"/>
        <v/>
      </c>
      <c r="K816" s="17" t="str">
        <f t="shared" si="63"/>
        <v/>
      </c>
      <c r="L816" s="18" t="str">
        <f t="shared" si="64"/>
        <v/>
      </c>
      <c r="M816" s="18" t="str">
        <f>IF(J816&lt;&gt;-1,"",ROUND(F816*IFERROR(INDEX(Stocuri!$G$5:$G$204,MATCH(D816,Coduri,0)),0),2))</f>
        <v/>
      </c>
      <c r="N816" s="19" t="str">
        <f t="shared" si="65"/>
        <v/>
      </c>
    </row>
    <row r="817" spans="2:14" x14ac:dyDescent="0.2">
      <c r="B817" s="15"/>
      <c r="C817" s="6"/>
      <c r="D817" s="12"/>
      <c r="E817" s="10" t="str">
        <f t="shared" si="61"/>
        <v/>
      </c>
      <c r="F817" s="16"/>
      <c r="G817" s="13"/>
      <c r="H817" s="6"/>
      <c r="I817" s="6"/>
      <c r="J817" s="11" t="str">
        <f t="shared" si="62"/>
        <v/>
      </c>
      <c r="K817" s="17" t="str">
        <f t="shared" si="63"/>
        <v/>
      </c>
      <c r="L817" s="18" t="str">
        <f t="shared" si="64"/>
        <v/>
      </c>
      <c r="M817" s="18" t="str">
        <f>IF(J817&lt;&gt;-1,"",ROUND(F817*IFERROR(INDEX(Stocuri!$G$5:$G$204,MATCH(D817,Coduri,0)),0),2))</f>
        <v/>
      </c>
      <c r="N817" s="19" t="str">
        <f t="shared" si="65"/>
        <v/>
      </c>
    </row>
    <row r="818" spans="2:14" x14ac:dyDescent="0.2">
      <c r="B818" s="15"/>
      <c r="C818" s="6"/>
      <c r="D818" s="12"/>
      <c r="E818" s="10" t="str">
        <f t="shared" si="61"/>
        <v/>
      </c>
      <c r="F818" s="16"/>
      <c r="G818" s="13"/>
      <c r="H818" s="6"/>
      <c r="I818" s="6"/>
      <c r="J818" s="11" t="str">
        <f t="shared" si="62"/>
        <v/>
      </c>
      <c r="K818" s="17" t="str">
        <f t="shared" si="63"/>
        <v/>
      </c>
      <c r="L818" s="18" t="str">
        <f t="shared" si="64"/>
        <v/>
      </c>
      <c r="M818" s="18" t="str">
        <f>IF(J818&lt;&gt;-1,"",ROUND(F818*IFERROR(INDEX(Stocuri!$G$5:$G$204,MATCH(D818,Coduri,0)),0),2))</f>
        <v/>
      </c>
      <c r="N818" s="19" t="str">
        <f t="shared" si="65"/>
        <v/>
      </c>
    </row>
    <row r="819" spans="2:14" x14ac:dyDescent="0.2">
      <c r="B819" s="15"/>
      <c r="C819" s="6"/>
      <c r="D819" s="12"/>
      <c r="E819" s="10" t="str">
        <f t="shared" si="61"/>
        <v/>
      </c>
      <c r="F819" s="16"/>
      <c r="G819" s="13"/>
      <c r="H819" s="6"/>
      <c r="I819" s="6"/>
      <c r="J819" s="11" t="str">
        <f t="shared" si="62"/>
        <v/>
      </c>
      <c r="K819" s="17" t="str">
        <f t="shared" si="63"/>
        <v/>
      </c>
      <c r="L819" s="18" t="str">
        <f t="shared" si="64"/>
        <v/>
      </c>
      <c r="M819" s="18" t="str">
        <f>IF(J819&lt;&gt;-1,"",ROUND(F819*IFERROR(INDEX(Stocuri!$G$5:$G$204,MATCH(D819,Coduri,0)),0),2))</f>
        <v/>
      </c>
      <c r="N819" s="19" t="str">
        <f t="shared" si="65"/>
        <v/>
      </c>
    </row>
    <row r="820" spans="2:14" x14ac:dyDescent="0.2">
      <c r="B820" s="15"/>
      <c r="C820" s="6"/>
      <c r="D820" s="12"/>
      <c r="E820" s="10" t="str">
        <f t="shared" si="61"/>
        <v/>
      </c>
      <c r="F820" s="16"/>
      <c r="G820" s="13"/>
      <c r="H820" s="6"/>
      <c r="I820" s="6"/>
      <c r="J820" s="11" t="str">
        <f t="shared" si="62"/>
        <v/>
      </c>
      <c r="K820" s="17" t="str">
        <f t="shared" si="63"/>
        <v/>
      </c>
      <c r="L820" s="18" t="str">
        <f t="shared" si="64"/>
        <v/>
      </c>
      <c r="M820" s="18" t="str">
        <f>IF(J820&lt;&gt;-1,"",ROUND(F820*IFERROR(INDEX(Stocuri!$G$5:$G$204,MATCH(D820,Coduri,0)),0),2))</f>
        <v/>
      </c>
      <c r="N820" s="19" t="str">
        <f t="shared" si="65"/>
        <v/>
      </c>
    </row>
    <row r="821" spans="2:14" x14ac:dyDescent="0.2">
      <c r="B821" s="15"/>
      <c r="C821" s="6"/>
      <c r="D821" s="12"/>
      <c r="E821" s="10" t="str">
        <f t="shared" si="61"/>
        <v/>
      </c>
      <c r="F821" s="16"/>
      <c r="G821" s="13"/>
      <c r="H821" s="6"/>
      <c r="I821" s="6"/>
      <c r="J821" s="11" t="str">
        <f t="shared" si="62"/>
        <v/>
      </c>
      <c r="K821" s="17" t="str">
        <f t="shared" si="63"/>
        <v/>
      </c>
      <c r="L821" s="18" t="str">
        <f t="shared" si="64"/>
        <v/>
      </c>
      <c r="M821" s="18" t="str">
        <f>IF(J821&lt;&gt;-1,"",ROUND(F821*IFERROR(INDEX(Stocuri!$G$5:$G$204,MATCH(D821,Coduri,0)),0),2))</f>
        <v/>
      </c>
      <c r="N821" s="19" t="str">
        <f t="shared" si="65"/>
        <v/>
      </c>
    </row>
    <row r="822" spans="2:14" x14ac:dyDescent="0.2">
      <c r="B822" s="15"/>
      <c r="C822" s="6"/>
      <c r="D822" s="12"/>
      <c r="E822" s="10" t="str">
        <f t="shared" si="61"/>
        <v/>
      </c>
      <c r="F822" s="16"/>
      <c r="G822" s="13"/>
      <c r="H822" s="6"/>
      <c r="I822" s="6"/>
      <c r="J822" s="11" t="str">
        <f t="shared" si="62"/>
        <v/>
      </c>
      <c r="K822" s="17" t="str">
        <f t="shared" si="63"/>
        <v/>
      </c>
      <c r="L822" s="18" t="str">
        <f t="shared" si="64"/>
        <v/>
      </c>
      <c r="M822" s="18" t="str">
        <f>IF(J822&lt;&gt;-1,"",ROUND(F822*IFERROR(INDEX(Stocuri!$G$5:$G$204,MATCH(D822,Coduri,0)),0),2))</f>
        <v/>
      </c>
      <c r="N822" s="19" t="str">
        <f t="shared" si="65"/>
        <v/>
      </c>
    </row>
    <row r="823" spans="2:14" x14ac:dyDescent="0.2">
      <c r="B823" s="15"/>
      <c r="C823" s="6"/>
      <c r="D823" s="12"/>
      <c r="E823" s="10" t="str">
        <f t="shared" si="61"/>
        <v/>
      </c>
      <c r="F823" s="16"/>
      <c r="G823" s="13"/>
      <c r="H823" s="6"/>
      <c r="I823" s="6"/>
      <c r="J823" s="11" t="str">
        <f t="shared" si="62"/>
        <v/>
      </c>
      <c r="K823" s="17" t="str">
        <f t="shared" si="63"/>
        <v/>
      </c>
      <c r="L823" s="18" t="str">
        <f t="shared" si="64"/>
        <v/>
      </c>
      <c r="M823" s="18" t="str">
        <f>IF(J823&lt;&gt;-1,"",ROUND(F823*IFERROR(INDEX(Stocuri!$G$5:$G$204,MATCH(D823,Coduri,0)),0),2))</f>
        <v/>
      </c>
      <c r="N823" s="19" t="str">
        <f t="shared" si="65"/>
        <v/>
      </c>
    </row>
    <row r="824" spans="2:14" x14ac:dyDescent="0.2">
      <c r="B824" s="15"/>
      <c r="C824" s="6"/>
      <c r="D824" s="12"/>
      <c r="E824" s="10" t="str">
        <f t="shared" si="61"/>
        <v/>
      </c>
      <c r="F824" s="16"/>
      <c r="G824" s="13"/>
      <c r="H824" s="6"/>
      <c r="I824" s="6"/>
      <c r="J824" s="11" t="str">
        <f t="shared" si="62"/>
        <v/>
      </c>
      <c r="K824" s="17" t="str">
        <f t="shared" si="63"/>
        <v/>
      </c>
      <c r="L824" s="18" t="str">
        <f t="shared" si="64"/>
        <v/>
      </c>
      <c r="M824" s="18" t="str">
        <f>IF(J824&lt;&gt;-1,"",ROUND(F824*IFERROR(INDEX(Stocuri!$G$5:$G$204,MATCH(D824,Coduri,0)),0),2))</f>
        <v/>
      </c>
      <c r="N824" s="19" t="str">
        <f t="shared" si="65"/>
        <v/>
      </c>
    </row>
    <row r="825" spans="2:14" x14ac:dyDescent="0.2">
      <c r="B825" s="15"/>
      <c r="C825" s="6"/>
      <c r="D825" s="12"/>
      <c r="E825" s="10" t="str">
        <f t="shared" si="61"/>
        <v/>
      </c>
      <c r="F825" s="16"/>
      <c r="G825" s="13"/>
      <c r="H825" s="6"/>
      <c r="I825" s="6"/>
      <c r="J825" s="11" t="str">
        <f t="shared" si="62"/>
        <v/>
      </c>
      <c r="K825" s="17" t="str">
        <f t="shared" si="63"/>
        <v/>
      </c>
      <c r="L825" s="18" t="str">
        <f t="shared" si="64"/>
        <v/>
      </c>
      <c r="M825" s="18" t="str">
        <f>IF(J825&lt;&gt;-1,"",ROUND(F825*IFERROR(INDEX(Stocuri!$G$5:$G$204,MATCH(D825,Coduri,0)),0),2))</f>
        <v/>
      </c>
      <c r="N825" s="19" t="str">
        <f t="shared" si="65"/>
        <v/>
      </c>
    </row>
    <row r="826" spans="2:14" x14ac:dyDescent="0.2">
      <c r="B826" s="15"/>
      <c r="C826" s="6"/>
      <c r="D826" s="12"/>
      <c r="E826" s="10" t="str">
        <f t="shared" si="61"/>
        <v/>
      </c>
      <c r="F826" s="16"/>
      <c r="G826" s="13"/>
      <c r="H826" s="6"/>
      <c r="I826" s="6"/>
      <c r="J826" s="11" t="str">
        <f t="shared" si="62"/>
        <v/>
      </c>
      <c r="K826" s="17" t="str">
        <f t="shared" si="63"/>
        <v/>
      </c>
      <c r="L826" s="18" t="str">
        <f t="shared" si="64"/>
        <v/>
      </c>
      <c r="M826" s="18" t="str">
        <f>IF(J826&lt;&gt;-1,"",ROUND(F826*IFERROR(INDEX(Stocuri!$G$5:$G$204,MATCH(D826,Coduri,0)),0),2))</f>
        <v/>
      </c>
      <c r="N826" s="19" t="str">
        <f t="shared" si="65"/>
        <v/>
      </c>
    </row>
    <row r="827" spans="2:14" x14ac:dyDescent="0.2">
      <c r="B827" s="15"/>
      <c r="C827" s="6"/>
      <c r="D827" s="12"/>
      <c r="E827" s="10" t="str">
        <f t="shared" si="61"/>
        <v/>
      </c>
      <c r="F827" s="16"/>
      <c r="G827" s="13"/>
      <c r="H827" s="6"/>
      <c r="I827" s="6"/>
      <c r="J827" s="11" t="str">
        <f t="shared" si="62"/>
        <v/>
      </c>
      <c r="K827" s="17" t="str">
        <f t="shared" si="63"/>
        <v/>
      </c>
      <c r="L827" s="18" t="str">
        <f t="shared" si="64"/>
        <v/>
      </c>
      <c r="M827" s="18" t="str">
        <f>IF(J827&lt;&gt;-1,"",ROUND(F827*IFERROR(INDEX(Stocuri!$G$5:$G$204,MATCH(D827,Coduri,0)),0),2))</f>
        <v/>
      </c>
      <c r="N827" s="19" t="str">
        <f t="shared" si="65"/>
        <v/>
      </c>
    </row>
    <row r="828" spans="2:14" x14ac:dyDescent="0.2">
      <c r="B828" s="15"/>
      <c r="C828" s="6"/>
      <c r="D828" s="12"/>
      <c r="E828" s="10" t="str">
        <f t="shared" si="61"/>
        <v/>
      </c>
      <c r="F828" s="16"/>
      <c r="G828" s="13"/>
      <c r="H828" s="6"/>
      <c r="I828" s="6"/>
      <c r="J828" s="11" t="str">
        <f t="shared" si="62"/>
        <v/>
      </c>
      <c r="K828" s="17" t="str">
        <f t="shared" si="63"/>
        <v/>
      </c>
      <c r="L828" s="18" t="str">
        <f t="shared" si="64"/>
        <v/>
      </c>
      <c r="M828" s="18" t="str">
        <f>IF(J828&lt;&gt;-1,"",ROUND(F828*IFERROR(INDEX(Stocuri!$G$5:$G$204,MATCH(D828,Coduri,0)),0),2))</f>
        <v/>
      </c>
      <c r="N828" s="19" t="str">
        <f t="shared" si="65"/>
        <v/>
      </c>
    </row>
    <row r="829" spans="2:14" x14ac:dyDescent="0.2">
      <c r="B829" s="15"/>
      <c r="C829" s="6"/>
      <c r="D829" s="12"/>
      <c r="E829" s="10" t="str">
        <f t="shared" si="61"/>
        <v/>
      </c>
      <c r="F829" s="16"/>
      <c r="G829" s="13"/>
      <c r="H829" s="6"/>
      <c r="I829" s="6"/>
      <c r="J829" s="11" t="str">
        <f t="shared" si="62"/>
        <v/>
      </c>
      <c r="K829" s="17" t="str">
        <f t="shared" si="63"/>
        <v/>
      </c>
      <c r="L829" s="18" t="str">
        <f t="shared" si="64"/>
        <v/>
      </c>
      <c r="M829" s="18" t="str">
        <f>IF(J829&lt;&gt;-1,"",ROUND(F829*IFERROR(INDEX(Stocuri!$G$5:$G$204,MATCH(D829,Coduri,0)),0),2))</f>
        <v/>
      </c>
      <c r="N829" s="19" t="str">
        <f t="shared" si="65"/>
        <v/>
      </c>
    </row>
    <row r="830" spans="2:14" x14ac:dyDescent="0.2">
      <c r="B830" s="15"/>
      <c r="C830" s="6"/>
      <c r="D830" s="12"/>
      <c r="E830" s="10" t="str">
        <f t="shared" si="61"/>
        <v/>
      </c>
      <c r="F830" s="16"/>
      <c r="G830" s="13"/>
      <c r="H830" s="6"/>
      <c r="I830" s="6"/>
      <c r="J830" s="11" t="str">
        <f t="shared" si="62"/>
        <v/>
      </c>
      <c r="K830" s="17" t="str">
        <f t="shared" si="63"/>
        <v/>
      </c>
      <c r="L830" s="18" t="str">
        <f t="shared" si="64"/>
        <v/>
      </c>
      <c r="M830" s="18" t="str">
        <f>IF(J830&lt;&gt;-1,"",ROUND(F830*IFERROR(INDEX(Stocuri!$G$5:$G$204,MATCH(D830,Coduri,0)),0),2))</f>
        <v/>
      </c>
      <c r="N830" s="19" t="str">
        <f t="shared" si="65"/>
        <v/>
      </c>
    </row>
    <row r="831" spans="2:14" x14ac:dyDescent="0.2">
      <c r="B831" s="15"/>
      <c r="C831" s="6"/>
      <c r="D831" s="12"/>
      <c r="E831" s="10" t="str">
        <f t="shared" si="61"/>
        <v/>
      </c>
      <c r="F831" s="16"/>
      <c r="G831" s="13"/>
      <c r="H831" s="6"/>
      <c r="I831" s="6"/>
      <c r="J831" s="11" t="str">
        <f t="shared" si="62"/>
        <v/>
      </c>
      <c r="K831" s="17" t="str">
        <f t="shared" si="63"/>
        <v/>
      </c>
      <c r="L831" s="18" t="str">
        <f t="shared" si="64"/>
        <v/>
      </c>
      <c r="M831" s="18" t="str">
        <f>IF(J831&lt;&gt;-1,"",ROUND(F831*IFERROR(INDEX(Stocuri!$G$5:$G$204,MATCH(D831,Coduri,0)),0),2))</f>
        <v/>
      </c>
      <c r="N831" s="19" t="str">
        <f t="shared" si="65"/>
        <v/>
      </c>
    </row>
    <row r="832" spans="2:14" x14ac:dyDescent="0.2">
      <c r="B832" s="15"/>
      <c r="C832" s="6"/>
      <c r="D832" s="12"/>
      <c r="E832" s="10" t="str">
        <f t="shared" si="61"/>
        <v/>
      </c>
      <c r="F832" s="16"/>
      <c r="G832" s="13"/>
      <c r="H832" s="6"/>
      <c r="I832" s="6"/>
      <c r="J832" s="11" t="str">
        <f t="shared" si="62"/>
        <v/>
      </c>
      <c r="K832" s="17" t="str">
        <f t="shared" si="63"/>
        <v/>
      </c>
      <c r="L832" s="18" t="str">
        <f t="shared" si="64"/>
        <v/>
      </c>
      <c r="M832" s="18" t="str">
        <f>IF(J832&lt;&gt;-1,"",ROUND(F832*IFERROR(INDEX(Stocuri!$G$5:$G$204,MATCH(D832,Coduri,0)),0),2))</f>
        <v/>
      </c>
      <c r="N832" s="19" t="str">
        <f t="shared" si="65"/>
        <v/>
      </c>
    </row>
    <row r="833" spans="2:14" x14ac:dyDescent="0.2">
      <c r="B833" s="15"/>
      <c r="C833" s="6"/>
      <c r="D833" s="12"/>
      <c r="E833" s="10" t="str">
        <f t="shared" si="61"/>
        <v/>
      </c>
      <c r="F833" s="16"/>
      <c r="G833" s="13"/>
      <c r="H833" s="6"/>
      <c r="I833" s="6"/>
      <c r="J833" s="11" t="str">
        <f t="shared" si="62"/>
        <v/>
      </c>
      <c r="K833" s="17" t="str">
        <f t="shared" si="63"/>
        <v/>
      </c>
      <c r="L833" s="18" t="str">
        <f t="shared" si="64"/>
        <v/>
      </c>
      <c r="M833" s="18" t="str">
        <f>IF(J833&lt;&gt;-1,"",ROUND(F833*IFERROR(INDEX(Stocuri!$G$5:$G$204,MATCH(D833,Coduri,0)),0),2))</f>
        <v/>
      </c>
      <c r="N833" s="19" t="str">
        <f t="shared" si="65"/>
        <v/>
      </c>
    </row>
    <row r="834" spans="2:14" x14ac:dyDescent="0.2">
      <c r="B834" s="15"/>
      <c r="C834" s="6"/>
      <c r="D834" s="12"/>
      <c r="E834" s="10" t="str">
        <f t="shared" si="61"/>
        <v/>
      </c>
      <c r="F834" s="16"/>
      <c r="G834" s="13"/>
      <c r="H834" s="6"/>
      <c r="I834" s="6"/>
      <c r="J834" s="11" t="str">
        <f t="shared" si="62"/>
        <v/>
      </c>
      <c r="K834" s="17" t="str">
        <f t="shared" si="63"/>
        <v/>
      </c>
      <c r="L834" s="18" t="str">
        <f t="shared" si="64"/>
        <v/>
      </c>
      <c r="M834" s="18" t="str">
        <f>IF(J834&lt;&gt;-1,"",ROUND(F834*IFERROR(INDEX(Stocuri!$G$5:$G$204,MATCH(D834,Coduri,0)),0),2))</f>
        <v/>
      </c>
      <c r="N834" s="19" t="str">
        <f t="shared" si="65"/>
        <v/>
      </c>
    </row>
    <row r="835" spans="2:14" x14ac:dyDescent="0.2">
      <c r="B835" s="15"/>
      <c r="C835" s="6"/>
      <c r="D835" s="12"/>
      <c r="E835" s="10" t="str">
        <f t="shared" si="61"/>
        <v/>
      </c>
      <c r="F835" s="16"/>
      <c r="G835" s="13"/>
      <c r="H835" s="6"/>
      <c r="I835" s="6"/>
      <c r="J835" s="11" t="str">
        <f t="shared" si="62"/>
        <v/>
      </c>
      <c r="K835" s="17" t="str">
        <f t="shared" si="63"/>
        <v/>
      </c>
      <c r="L835" s="18" t="str">
        <f t="shared" si="64"/>
        <v/>
      </c>
      <c r="M835" s="18" t="str">
        <f>IF(J835&lt;&gt;-1,"",ROUND(F835*IFERROR(INDEX(Stocuri!$G$5:$G$204,MATCH(D835,Coduri,0)),0),2))</f>
        <v/>
      </c>
      <c r="N835" s="19" t="str">
        <f t="shared" si="65"/>
        <v/>
      </c>
    </row>
    <row r="836" spans="2:14" x14ac:dyDescent="0.2">
      <c r="B836" s="15"/>
      <c r="C836" s="6"/>
      <c r="D836" s="12"/>
      <c r="E836" s="10" t="str">
        <f t="shared" si="61"/>
        <v/>
      </c>
      <c r="F836" s="16"/>
      <c r="G836" s="13"/>
      <c r="H836" s="6"/>
      <c r="I836" s="6"/>
      <c r="J836" s="11" t="str">
        <f t="shared" si="62"/>
        <v/>
      </c>
      <c r="K836" s="17" t="str">
        <f t="shared" si="63"/>
        <v/>
      </c>
      <c r="L836" s="18" t="str">
        <f t="shared" si="64"/>
        <v/>
      </c>
      <c r="M836" s="18" t="str">
        <f>IF(J836&lt;&gt;-1,"",ROUND(F836*IFERROR(INDEX(Stocuri!$G$5:$G$204,MATCH(D836,Coduri,0)),0),2))</f>
        <v/>
      </c>
      <c r="N836" s="19" t="str">
        <f t="shared" si="65"/>
        <v/>
      </c>
    </row>
    <row r="837" spans="2:14" x14ac:dyDescent="0.2">
      <c r="B837" s="15"/>
      <c r="C837" s="6"/>
      <c r="D837" s="12"/>
      <c r="E837" s="10" t="str">
        <f t="shared" ref="E837:E900" si="66">IF(D837="","",IFERROR(VLOOKUP(D837,Catalog,2,FALSE),""))</f>
        <v/>
      </c>
      <c r="F837" s="16"/>
      <c r="G837" s="13"/>
      <c r="H837" s="6"/>
      <c r="I837" s="6"/>
      <c r="J837" s="11" t="str">
        <f t="shared" ref="J837:J900" si="67">IF(C837="","",IFERROR(VLOOKUP(C837,TipSemn,2,FALSE),""))</f>
        <v/>
      </c>
      <c r="K837" s="17" t="str">
        <f t="shared" ref="K837:K900" si="68">IF(OR(J837="",F837=""),"",J837*F837)</f>
        <v/>
      </c>
      <c r="L837" s="18" t="str">
        <f t="shared" ref="L837:L900" si="69">IF(OR(J837&lt;&gt;1,G837=""),"",ROUND(F837*G837,2))</f>
        <v/>
      </c>
      <c r="M837" s="18" t="str">
        <f>IF(J837&lt;&gt;-1,"",ROUND(F837*IFERROR(INDEX(Stocuri!$G$5:$G$204,MATCH(D837,Coduri,0)),0),2))</f>
        <v/>
      </c>
      <c r="N837" s="19" t="str">
        <f t="shared" ref="N837:N900" si="70">IF(AND(B837="",D837=""),"",TRIM(IF(OR(B837="",C837="",D837="",F837=""),"Date incomplete. ","")&amp;IF(AND(D837&lt;&gt;"",E837=""),"Cod necunoscut. ","")&amp;IF(AND(J837=1,C837&lt;&gt;"Retur de la client",C837&lt;&gt;"Ajustare inventar +",G837=""),"Lipsește prețul de intrare. ","")&amp;IF(AND(J837=-1,D837&lt;&gt;"",SUMIFS($K$5:$K$2004,$D$5:$D$2004,D837,$B$5:$B$2004,"&lt;="&amp;B837)&lt;0),"Stoc insuficient la această dată. ","")&amp;IF(AND(C837&lt;&gt;"Stoc inițial",H837=""),"Lipsește documentul. ","")))</f>
        <v/>
      </c>
    </row>
    <row r="838" spans="2:14" x14ac:dyDescent="0.2">
      <c r="B838" s="15"/>
      <c r="C838" s="6"/>
      <c r="D838" s="12"/>
      <c r="E838" s="10" t="str">
        <f t="shared" si="66"/>
        <v/>
      </c>
      <c r="F838" s="16"/>
      <c r="G838" s="13"/>
      <c r="H838" s="6"/>
      <c r="I838" s="6"/>
      <c r="J838" s="11" t="str">
        <f t="shared" si="67"/>
        <v/>
      </c>
      <c r="K838" s="17" t="str">
        <f t="shared" si="68"/>
        <v/>
      </c>
      <c r="L838" s="18" t="str">
        <f t="shared" si="69"/>
        <v/>
      </c>
      <c r="M838" s="18" t="str">
        <f>IF(J838&lt;&gt;-1,"",ROUND(F838*IFERROR(INDEX(Stocuri!$G$5:$G$204,MATCH(D838,Coduri,0)),0),2))</f>
        <v/>
      </c>
      <c r="N838" s="19" t="str">
        <f t="shared" si="70"/>
        <v/>
      </c>
    </row>
    <row r="839" spans="2:14" x14ac:dyDescent="0.2">
      <c r="B839" s="15"/>
      <c r="C839" s="6"/>
      <c r="D839" s="12"/>
      <c r="E839" s="10" t="str">
        <f t="shared" si="66"/>
        <v/>
      </c>
      <c r="F839" s="16"/>
      <c r="G839" s="13"/>
      <c r="H839" s="6"/>
      <c r="I839" s="6"/>
      <c r="J839" s="11" t="str">
        <f t="shared" si="67"/>
        <v/>
      </c>
      <c r="K839" s="17" t="str">
        <f t="shared" si="68"/>
        <v/>
      </c>
      <c r="L839" s="18" t="str">
        <f t="shared" si="69"/>
        <v/>
      </c>
      <c r="M839" s="18" t="str">
        <f>IF(J839&lt;&gt;-1,"",ROUND(F839*IFERROR(INDEX(Stocuri!$G$5:$G$204,MATCH(D839,Coduri,0)),0),2))</f>
        <v/>
      </c>
      <c r="N839" s="19" t="str">
        <f t="shared" si="70"/>
        <v/>
      </c>
    </row>
    <row r="840" spans="2:14" x14ac:dyDescent="0.2">
      <c r="B840" s="15"/>
      <c r="C840" s="6"/>
      <c r="D840" s="12"/>
      <c r="E840" s="10" t="str">
        <f t="shared" si="66"/>
        <v/>
      </c>
      <c r="F840" s="16"/>
      <c r="G840" s="13"/>
      <c r="H840" s="6"/>
      <c r="I840" s="6"/>
      <c r="J840" s="11" t="str">
        <f t="shared" si="67"/>
        <v/>
      </c>
      <c r="K840" s="17" t="str">
        <f t="shared" si="68"/>
        <v/>
      </c>
      <c r="L840" s="18" t="str">
        <f t="shared" si="69"/>
        <v/>
      </c>
      <c r="M840" s="18" t="str">
        <f>IF(J840&lt;&gt;-1,"",ROUND(F840*IFERROR(INDEX(Stocuri!$G$5:$G$204,MATCH(D840,Coduri,0)),0),2))</f>
        <v/>
      </c>
      <c r="N840" s="19" t="str">
        <f t="shared" si="70"/>
        <v/>
      </c>
    </row>
    <row r="841" spans="2:14" x14ac:dyDescent="0.2">
      <c r="B841" s="15"/>
      <c r="C841" s="6"/>
      <c r="D841" s="12"/>
      <c r="E841" s="10" t="str">
        <f t="shared" si="66"/>
        <v/>
      </c>
      <c r="F841" s="16"/>
      <c r="G841" s="13"/>
      <c r="H841" s="6"/>
      <c r="I841" s="6"/>
      <c r="J841" s="11" t="str">
        <f t="shared" si="67"/>
        <v/>
      </c>
      <c r="K841" s="17" t="str">
        <f t="shared" si="68"/>
        <v/>
      </c>
      <c r="L841" s="18" t="str">
        <f t="shared" si="69"/>
        <v/>
      </c>
      <c r="M841" s="18" t="str">
        <f>IF(J841&lt;&gt;-1,"",ROUND(F841*IFERROR(INDEX(Stocuri!$G$5:$G$204,MATCH(D841,Coduri,0)),0),2))</f>
        <v/>
      </c>
      <c r="N841" s="19" t="str">
        <f t="shared" si="70"/>
        <v/>
      </c>
    </row>
    <row r="842" spans="2:14" x14ac:dyDescent="0.2">
      <c r="B842" s="15"/>
      <c r="C842" s="6"/>
      <c r="D842" s="12"/>
      <c r="E842" s="10" t="str">
        <f t="shared" si="66"/>
        <v/>
      </c>
      <c r="F842" s="16"/>
      <c r="G842" s="13"/>
      <c r="H842" s="6"/>
      <c r="I842" s="6"/>
      <c r="J842" s="11" t="str">
        <f t="shared" si="67"/>
        <v/>
      </c>
      <c r="K842" s="17" t="str">
        <f t="shared" si="68"/>
        <v/>
      </c>
      <c r="L842" s="18" t="str">
        <f t="shared" si="69"/>
        <v/>
      </c>
      <c r="M842" s="18" t="str">
        <f>IF(J842&lt;&gt;-1,"",ROUND(F842*IFERROR(INDEX(Stocuri!$G$5:$G$204,MATCH(D842,Coduri,0)),0),2))</f>
        <v/>
      </c>
      <c r="N842" s="19" t="str">
        <f t="shared" si="70"/>
        <v/>
      </c>
    </row>
    <row r="843" spans="2:14" x14ac:dyDescent="0.2">
      <c r="B843" s="15"/>
      <c r="C843" s="6"/>
      <c r="D843" s="12"/>
      <c r="E843" s="10" t="str">
        <f t="shared" si="66"/>
        <v/>
      </c>
      <c r="F843" s="16"/>
      <c r="G843" s="13"/>
      <c r="H843" s="6"/>
      <c r="I843" s="6"/>
      <c r="J843" s="11" t="str">
        <f t="shared" si="67"/>
        <v/>
      </c>
      <c r="K843" s="17" t="str">
        <f t="shared" si="68"/>
        <v/>
      </c>
      <c r="L843" s="18" t="str">
        <f t="shared" si="69"/>
        <v/>
      </c>
      <c r="M843" s="18" t="str">
        <f>IF(J843&lt;&gt;-1,"",ROUND(F843*IFERROR(INDEX(Stocuri!$G$5:$G$204,MATCH(D843,Coduri,0)),0),2))</f>
        <v/>
      </c>
      <c r="N843" s="19" t="str">
        <f t="shared" si="70"/>
        <v/>
      </c>
    </row>
    <row r="844" spans="2:14" x14ac:dyDescent="0.2">
      <c r="B844" s="15"/>
      <c r="C844" s="6"/>
      <c r="D844" s="12"/>
      <c r="E844" s="10" t="str">
        <f t="shared" si="66"/>
        <v/>
      </c>
      <c r="F844" s="16"/>
      <c r="G844" s="13"/>
      <c r="H844" s="6"/>
      <c r="I844" s="6"/>
      <c r="J844" s="11" t="str">
        <f t="shared" si="67"/>
        <v/>
      </c>
      <c r="K844" s="17" t="str">
        <f t="shared" si="68"/>
        <v/>
      </c>
      <c r="L844" s="18" t="str">
        <f t="shared" si="69"/>
        <v/>
      </c>
      <c r="M844" s="18" t="str">
        <f>IF(J844&lt;&gt;-1,"",ROUND(F844*IFERROR(INDEX(Stocuri!$G$5:$G$204,MATCH(D844,Coduri,0)),0),2))</f>
        <v/>
      </c>
      <c r="N844" s="19" t="str">
        <f t="shared" si="70"/>
        <v/>
      </c>
    </row>
    <row r="845" spans="2:14" x14ac:dyDescent="0.2">
      <c r="B845" s="15"/>
      <c r="C845" s="6"/>
      <c r="D845" s="12"/>
      <c r="E845" s="10" t="str">
        <f t="shared" si="66"/>
        <v/>
      </c>
      <c r="F845" s="16"/>
      <c r="G845" s="13"/>
      <c r="H845" s="6"/>
      <c r="I845" s="6"/>
      <c r="J845" s="11" t="str">
        <f t="shared" si="67"/>
        <v/>
      </c>
      <c r="K845" s="17" t="str">
        <f t="shared" si="68"/>
        <v/>
      </c>
      <c r="L845" s="18" t="str">
        <f t="shared" si="69"/>
        <v/>
      </c>
      <c r="M845" s="18" t="str">
        <f>IF(J845&lt;&gt;-1,"",ROUND(F845*IFERROR(INDEX(Stocuri!$G$5:$G$204,MATCH(D845,Coduri,0)),0),2))</f>
        <v/>
      </c>
      <c r="N845" s="19" t="str">
        <f t="shared" si="70"/>
        <v/>
      </c>
    </row>
    <row r="846" spans="2:14" x14ac:dyDescent="0.2">
      <c r="B846" s="15"/>
      <c r="C846" s="6"/>
      <c r="D846" s="12"/>
      <c r="E846" s="10" t="str">
        <f t="shared" si="66"/>
        <v/>
      </c>
      <c r="F846" s="16"/>
      <c r="G846" s="13"/>
      <c r="H846" s="6"/>
      <c r="I846" s="6"/>
      <c r="J846" s="11" t="str">
        <f t="shared" si="67"/>
        <v/>
      </c>
      <c r="K846" s="17" t="str">
        <f t="shared" si="68"/>
        <v/>
      </c>
      <c r="L846" s="18" t="str">
        <f t="shared" si="69"/>
        <v/>
      </c>
      <c r="M846" s="18" t="str">
        <f>IF(J846&lt;&gt;-1,"",ROUND(F846*IFERROR(INDEX(Stocuri!$G$5:$G$204,MATCH(D846,Coduri,0)),0),2))</f>
        <v/>
      </c>
      <c r="N846" s="19" t="str">
        <f t="shared" si="70"/>
        <v/>
      </c>
    </row>
    <row r="847" spans="2:14" x14ac:dyDescent="0.2">
      <c r="B847" s="15"/>
      <c r="C847" s="6"/>
      <c r="D847" s="12"/>
      <c r="E847" s="10" t="str">
        <f t="shared" si="66"/>
        <v/>
      </c>
      <c r="F847" s="16"/>
      <c r="G847" s="13"/>
      <c r="H847" s="6"/>
      <c r="I847" s="6"/>
      <c r="J847" s="11" t="str">
        <f t="shared" si="67"/>
        <v/>
      </c>
      <c r="K847" s="17" t="str">
        <f t="shared" si="68"/>
        <v/>
      </c>
      <c r="L847" s="18" t="str">
        <f t="shared" si="69"/>
        <v/>
      </c>
      <c r="M847" s="18" t="str">
        <f>IF(J847&lt;&gt;-1,"",ROUND(F847*IFERROR(INDEX(Stocuri!$G$5:$G$204,MATCH(D847,Coduri,0)),0),2))</f>
        <v/>
      </c>
      <c r="N847" s="19" t="str">
        <f t="shared" si="70"/>
        <v/>
      </c>
    </row>
    <row r="848" spans="2:14" x14ac:dyDescent="0.2">
      <c r="B848" s="15"/>
      <c r="C848" s="6"/>
      <c r="D848" s="12"/>
      <c r="E848" s="10" t="str">
        <f t="shared" si="66"/>
        <v/>
      </c>
      <c r="F848" s="16"/>
      <c r="G848" s="13"/>
      <c r="H848" s="6"/>
      <c r="I848" s="6"/>
      <c r="J848" s="11" t="str">
        <f t="shared" si="67"/>
        <v/>
      </c>
      <c r="K848" s="17" t="str">
        <f t="shared" si="68"/>
        <v/>
      </c>
      <c r="L848" s="18" t="str">
        <f t="shared" si="69"/>
        <v/>
      </c>
      <c r="M848" s="18" t="str">
        <f>IF(J848&lt;&gt;-1,"",ROUND(F848*IFERROR(INDEX(Stocuri!$G$5:$G$204,MATCH(D848,Coduri,0)),0),2))</f>
        <v/>
      </c>
      <c r="N848" s="19" t="str">
        <f t="shared" si="70"/>
        <v/>
      </c>
    </row>
    <row r="849" spans="2:14" x14ac:dyDescent="0.2">
      <c r="B849" s="15"/>
      <c r="C849" s="6"/>
      <c r="D849" s="12"/>
      <c r="E849" s="10" t="str">
        <f t="shared" si="66"/>
        <v/>
      </c>
      <c r="F849" s="16"/>
      <c r="G849" s="13"/>
      <c r="H849" s="6"/>
      <c r="I849" s="6"/>
      <c r="J849" s="11" t="str">
        <f t="shared" si="67"/>
        <v/>
      </c>
      <c r="K849" s="17" t="str">
        <f t="shared" si="68"/>
        <v/>
      </c>
      <c r="L849" s="18" t="str">
        <f t="shared" si="69"/>
        <v/>
      </c>
      <c r="M849" s="18" t="str">
        <f>IF(J849&lt;&gt;-1,"",ROUND(F849*IFERROR(INDEX(Stocuri!$G$5:$G$204,MATCH(D849,Coduri,0)),0),2))</f>
        <v/>
      </c>
      <c r="N849" s="19" t="str">
        <f t="shared" si="70"/>
        <v/>
      </c>
    </row>
    <row r="850" spans="2:14" x14ac:dyDescent="0.2">
      <c r="B850" s="15"/>
      <c r="C850" s="6"/>
      <c r="D850" s="12"/>
      <c r="E850" s="10" t="str">
        <f t="shared" si="66"/>
        <v/>
      </c>
      <c r="F850" s="16"/>
      <c r="G850" s="13"/>
      <c r="H850" s="6"/>
      <c r="I850" s="6"/>
      <c r="J850" s="11" t="str">
        <f t="shared" si="67"/>
        <v/>
      </c>
      <c r="K850" s="17" t="str">
        <f t="shared" si="68"/>
        <v/>
      </c>
      <c r="L850" s="18" t="str">
        <f t="shared" si="69"/>
        <v/>
      </c>
      <c r="M850" s="18" t="str">
        <f>IF(J850&lt;&gt;-1,"",ROUND(F850*IFERROR(INDEX(Stocuri!$G$5:$G$204,MATCH(D850,Coduri,0)),0),2))</f>
        <v/>
      </c>
      <c r="N850" s="19" t="str">
        <f t="shared" si="70"/>
        <v/>
      </c>
    </row>
    <row r="851" spans="2:14" x14ac:dyDescent="0.2">
      <c r="B851" s="15"/>
      <c r="C851" s="6"/>
      <c r="D851" s="12"/>
      <c r="E851" s="10" t="str">
        <f t="shared" si="66"/>
        <v/>
      </c>
      <c r="F851" s="16"/>
      <c r="G851" s="13"/>
      <c r="H851" s="6"/>
      <c r="I851" s="6"/>
      <c r="J851" s="11" t="str">
        <f t="shared" si="67"/>
        <v/>
      </c>
      <c r="K851" s="17" t="str">
        <f t="shared" si="68"/>
        <v/>
      </c>
      <c r="L851" s="18" t="str">
        <f t="shared" si="69"/>
        <v/>
      </c>
      <c r="M851" s="18" t="str">
        <f>IF(J851&lt;&gt;-1,"",ROUND(F851*IFERROR(INDEX(Stocuri!$G$5:$G$204,MATCH(D851,Coduri,0)),0),2))</f>
        <v/>
      </c>
      <c r="N851" s="19" t="str">
        <f t="shared" si="70"/>
        <v/>
      </c>
    </row>
    <row r="852" spans="2:14" x14ac:dyDescent="0.2">
      <c r="B852" s="15"/>
      <c r="C852" s="6"/>
      <c r="D852" s="12"/>
      <c r="E852" s="10" t="str">
        <f t="shared" si="66"/>
        <v/>
      </c>
      <c r="F852" s="16"/>
      <c r="G852" s="13"/>
      <c r="H852" s="6"/>
      <c r="I852" s="6"/>
      <c r="J852" s="11" t="str">
        <f t="shared" si="67"/>
        <v/>
      </c>
      <c r="K852" s="17" t="str">
        <f t="shared" si="68"/>
        <v/>
      </c>
      <c r="L852" s="18" t="str">
        <f t="shared" si="69"/>
        <v/>
      </c>
      <c r="M852" s="18" t="str">
        <f>IF(J852&lt;&gt;-1,"",ROUND(F852*IFERROR(INDEX(Stocuri!$G$5:$G$204,MATCH(D852,Coduri,0)),0),2))</f>
        <v/>
      </c>
      <c r="N852" s="19" t="str">
        <f t="shared" si="70"/>
        <v/>
      </c>
    </row>
    <row r="853" spans="2:14" x14ac:dyDescent="0.2">
      <c r="B853" s="15"/>
      <c r="C853" s="6"/>
      <c r="D853" s="12"/>
      <c r="E853" s="10" t="str">
        <f t="shared" si="66"/>
        <v/>
      </c>
      <c r="F853" s="16"/>
      <c r="G853" s="13"/>
      <c r="H853" s="6"/>
      <c r="I853" s="6"/>
      <c r="J853" s="11" t="str">
        <f t="shared" si="67"/>
        <v/>
      </c>
      <c r="K853" s="17" t="str">
        <f t="shared" si="68"/>
        <v/>
      </c>
      <c r="L853" s="18" t="str">
        <f t="shared" si="69"/>
        <v/>
      </c>
      <c r="M853" s="18" t="str">
        <f>IF(J853&lt;&gt;-1,"",ROUND(F853*IFERROR(INDEX(Stocuri!$G$5:$G$204,MATCH(D853,Coduri,0)),0),2))</f>
        <v/>
      </c>
      <c r="N853" s="19" t="str">
        <f t="shared" si="70"/>
        <v/>
      </c>
    </row>
    <row r="854" spans="2:14" x14ac:dyDescent="0.2">
      <c r="B854" s="15"/>
      <c r="C854" s="6"/>
      <c r="D854" s="12"/>
      <c r="E854" s="10" t="str">
        <f t="shared" si="66"/>
        <v/>
      </c>
      <c r="F854" s="16"/>
      <c r="G854" s="13"/>
      <c r="H854" s="6"/>
      <c r="I854" s="6"/>
      <c r="J854" s="11" t="str">
        <f t="shared" si="67"/>
        <v/>
      </c>
      <c r="K854" s="17" t="str">
        <f t="shared" si="68"/>
        <v/>
      </c>
      <c r="L854" s="18" t="str">
        <f t="shared" si="69"/>
        <v/>
      </c>
      <c r="M854" s="18" t="str">
        <f>IF(J854&lt;&gt;-1,"",ROUND(F854*IFERROR(INDEX(Stocuri!$G$5:$G$204,MATCH(D854,Coduri,0)),0),2))</f>
        <v/>
      </c>
      <c r="N854" s="19" t="str">
        <f t="shared" si="70"/>
        <v/>
      </c>
    </row>
    <row r="855" spans="2:14" x14ac:dyDescent="0.2">
      <c r="B855" s="15"/>
      <c r="C855" s="6"/>
      <c r="D855" s="12"/>
      <c r="E855" s="10" t="str">
        <f t="shared" si="66"/>
        <v/>
      </c>
      <c r="F855" s="16"/>
      <c r="G855" s="13"/>
      <c r="H855" s="6"/>
      <c r="I855" s="6"/>
      <c r="J855" s="11" t="str">
        <f t="shared" si="67"/>
        <v/>
      </c>
      <c r="K855" s="17" t="str">
        <f t="shared" si="68"/>
        <v/>
      </c>
      <c r="L855" s="18" t="str">
        <f t="shared" si="69"/>
        <v/>
      </c>
      <c r="M855" s="18" t="str">
        <f>IF(J855&lt;&gt;-1,"",ROUND(F855*IFERROR(INDEX(Stocuri!$G$5:$G$204,MATCH(D855,Coduri,0)),0),2))</f>
        <v/>
      </c>
      <c r="N855" s="19" t="str">
        <f t="shared" si="70"/>
        <v/>
      </c>
    </row>
    <row r="856" spans="2:14" x14ac:dyDescent="0.2">
      <c r="B856" s="15"/>
      <c r="C856" s="6"/>
      <c r="D856" s="12"/>
      <c r="E856" s="10" t="str">
        <f t="shared" si="66"/>
        <v/>
      </c>
      <c r="F856" s="16"/>
      <c r="G856" s="13"/>
      <c r="H856" s="6"/>
      <c r="I856" s="6"/>
      <c r="J856" s="11" t="str">
        <f t="shared" si="67"/>
        <v/>
      </c>
      <c r="K856" s="17" t="str">
        <f t="shared" si="68"/>
        <v/>
      </c>
      <c r="L856" s="18" t="str">
        <f t="shared" si="69"/>
        <v/>
      </c>
      <c r="M856" s="18" t="str">
        <f>IF(J856&lt;&gt;-1,"",ROUND(F856*IFERROR(INDEX(Stocuri!$G$5:$G$204,MATCH(D856,Coduri,0)),0),2))</f>
        <v/>
      </c>
      <c r="N856" s="19" t="str">
        <f t="shared" si="70"/>
        <v/>
      </c>
    </row>
    <row r="857" spans="2:14" x14ac:dyDescent="0.2">
      <c r="B857" s="15"/>
      <c r="C857" s="6"/>
      <c r="D857" s="12"/>
      <c r="E857" s="10" t="str">
        <f t="shared" si="66"/>
        <v/>
      </c>
      <c r="F857" s="16"/>
      <c r="G857" s="13"/>
      <c r="H857" s="6"/>
      <c r="I857" s="6"/>
      <c r="J857" s="11" t="str">
        <f t="shared" si="67"/>
        <v/>
      </c>
      <c r="K857" s="17" t="str">
        <f t="shared" si="68"/>
        <v/>
      </c>
      <c r="L857" s="18" t="str">
        <f t="shared" si="69"/>
        <v/>
      </c>
      <c r="M857" s="18" t="str">
        <f>IF(J857&lt;&gt;-1,"",ROUND(F857*IFERROR(INDEX(Stocuri!$G$5:$G$204,MATCH(D857,Coduri,0)),0),2))</f>
        <v/>
      </c>
      <c r="N857" s="19" t="str">
        <f t="shared" si="70"/>
        <v/>
      </c>
    </row>
    <row r="858" spans="2:14" x14ac:dyDescent="0.2">
      <c r="B858" s="15"/>
      <c r="C858" s="6"/>
      <c r="D858" s="12"/>
      <c r="E858" s="10" t="str">
        <f t="shared" si="66"/>
        <v/>
      </c>
      <c r="F858" s="16"/>
      <c r="G858" s="13"/>
      <c r="H858" s="6"/>
      <c r="I858" s="6"/>
      <c r="J858" s="11" t="str">
        <f t="shared" si="67"/>
        <v/>
      </c>
      <c r="K858" s="17" t="str">
        <f t="shared" si="68"/>
        <v/>
      </c>
      <c r="L858" s="18" t="str">
        <f t="shared" si="69"/>
        <v/>
      </c>
      <c r="M858" s="18" t="str">
        <f>IF(J858&lt;&gt;-1,"",ROUND(F858*IFERROR(INDEX(Stocuri!$G$5:$G$204,MATCH(D858,Coduri,0)),0),2))</f>
        <v/>
      </c>
      <c r="N858" s="19" t="str">
        <f t="shared" si="70"/>
        <v/>
      </c>
    </row>
    <row r="859" spans="2:14" x14ac:dyDescent="0.2">
      <c r="B859" s="15"/>
      <c r="C859" s="6"/>
      <c r="D859" s="12"/>
      <c r="E859" s="10" t="str">
        <f t="shared" si="66"/>
        <v/>
      </c>
      <c r="F859" s="16"/>
      <c r="G859" s="13"/>
      <c r="H859" s="6"/>
      <c r="I859" s="6"/>
      <c r="J859" s="11" t="str">
        <f t="shared" si="67"/>
        <v/>
      </c>
      <c r="K859" s="17" t="str">
        <f t="shared" si="68"/>
        <v/>
      </c>
      <c r="L859" s="18" t="str">
        <f t="shared" si="69"/>
        <v/>
      </c>
      <c r="M859" s="18" t="str">
        <f>IF(J859&lt;&gt;-1,"",ROUND(F859*IFERROR(INDEX(Stocuri!$G$5:$G$204,MATCH(D859,Coduri,0)),0),2))</f>
        <v/>
      </c>
      <c r="N859" s="19" t="str">
        <f t="shared" si="70"/>
        <v/>
      </c>
    </row>
    <row r="860" spans="2:14" x14ac:dyDescent="0.2">
      <c r="B860" s="15"/>
      <c r="C860" s="6"/>
      <c r="D860" s="12"/>
      <c r="E860" s="10" t="str">
        <f t="shared" si="66"/>
        <v/>
      </c>
      <c r="F860" s="16"/>
      <c r="G860" s="13"/>
      <c r="H860" s="6"/>
      <c r="I860" s="6"/>
      <c r="J860" s="11" t="str">
        <f t="shared" si="67"/>
        <v/>
      </c>
      <c r="K860" s="17" t="str">
        <f t="shared" si="68"/>
        <v/>
      </c>
      <c r="L860" s="18" t="str">
        <f t="shared" si="69"/>
        <v/>
      </c>
      <c r="M860" s="18" t="str">
        <f>IF(J860&lt;&gt;-1,"",ROUND(F860*IFERROR(INDEX(Stocuri!$G$5:$G$204,MATCH(D860,Coduri,0)),0),2))</f>
        <v/>
      </c>
      <c r="N860" s="19" t="str">
        <f t="shared" si="70"/>
        <v/>
      </c>
    </row>
    <row r="861" spans="2:14" x14ac:dyDescent="0.2">
      <c r="B861" s="15"/>
      <c r="C861" s="6"/>
      <c r="D861" s="12"/>
      <c r="E861" s="10" t="str">
        <f t="shared" si="66"/>
        <v/>
      </c>
      <c r="F861" s="16"/>
      <c r="G861" s="13"/>
      <c r="H861" s="6"/>
      <c r="I861" s="6"/>
      <c r="J861" s="11" t="str">
        <f t="shared" si="67"/>
        <v/>
      </c>
      <c r="K861" s="17" t="str">
        <f t="shared" si="68"/>
        <v/>
      </c>
      <c r="L861" s="18" t="str">
        <f t="shared" si="69"/>
        <v/>
      </c>
      <c r="M861" s="18" t="str">
        <f>IF(J861&lt;&gt;-1,"",ROUND(F861*IFERROR(INDEX(Stocuri!$G$5:$G$204,MATCH(D861,Coduri,0)),0),2))</f>
        <v/>
      </c>
      <c r="N861" s="19" t="str">
        <f t="shared" si="70"/>
        <v/>
      </c>
    </row>
    <row r="862" spans="2:14" x14ac:dyDescent="0.2">
      <c r="B862" s="15"/>
      <c r="C862" s="6"/>
      <c r="D862" s="12"/>
      <c r="E862" s="10" t="str">
        <f t="shared" si="66"/>
        <v/>
      </c>
      <c r="F862" s="16"/>
      <c r="G862" s="13"/>
      <c r="H862" s="6"/>
      <c r="I862" s="6"/>
      <c r="J862" s="11" t="str">
        <f t="shared" si="67"/>
        <v/>
      </c>
      <c r="K862" s="17" t="str">
        <f t="shared" si="68"/>
        <v/>
      </c>
      <c r="L862" s="18" t="str">
        <f t="shared" si="69"/>
        <v/>
      </c>
      <c r="M862" s="18" t="str">
        <f>IF(J862&lt;&gt;-1,"",ROUND(F862*IFERROR(INDEX(Stocuri!$G$5:$G$204,MATCH(D862,Coduri,0)),0),2))</f>
        <v/>
      </c>
      <c r="N862" s="19" t="str">
        <f t="shared" si="70"/>
        <v/>
      </c>
    </row>
    <row r="863" spans="2:14" x14ac:dyDescent="0.2">
      <c r="B863" s="15"/>
      <c r="C863" s="6"/>
      <c r="D863" s="12"/>
      <c r="E863" s="10" t="str">
        <f t="shared" si="66"/>
        <v/>
      </c>
      <c r="F863" s="16"/>
      <c r="G863" s="13"/>
      <c r="H863" s="6"/>
      <c r="I863" s="6"/>
      <c r="J863" s="11" t="str">
        <f t="shared" si="67"/>
        <v/>
      </c>
      <c r="K863" s="17" t="str">
        <f t="shared" si="68"/>
        <v/>
      </c>
      <c r="L863" s="18" t="str">
        <f t="shared" si="69"/>
        <v/>
      </c>
      <c r="M863" s="18" t="str">
        <f>IF(J863&lt;&gt;-1,"",ROUND(F863*IFERROR(INDEX(Stocuri!$G$5:$G$204,MATCH(D863,Coduri,0)),0),2))</f>
        <v/>
      </c>
      <c r="N863" s="19" t="str">
        <f t="shared" si="70"/>
        <v/>
      </c>
    </row>
    <row r="864" spans="2:14" x14ac:dyDescent="0.2">
      <c r="B864" s="15"/>
      <c r="C864" s="6"/>
      <c r="D864" s="12"/>
      <c r="E864" s="10" t="str">
        <f t="shared" si="66"/>
        <v/>
      </c>
      <c r="F864" s="16"/>
      <c r="G864" s="13"/>
      <c r="H864" s="6"/>
      <c r="I864" s="6"/>
      <c r="J864" s="11" t="str">
        <f t="shared" si="67"/>
        <v/>
      </c>
      <c r="K864" s="17" t="str">
        <f t="shared" si="68"/>
        <v/>
      </c>
      <c r="L864" s="18" t="str">
        <f t="shared" si="69"/>
        <v/>
      </c>
      <c r="M864" s="18" t="str">
        <f>IF(J864&lt;&gt;-1,"",ROUND(F864*IFERROR(INDEX(Stocuri!$G$5:$G$204,MATCH(D864,Coduri,0)),0),2))</f>
        <v/>
      </c>
      <c r="N864" s="19" t="str">
        <f t="shared" si="70"/>
        <v/>
      </c>
    </row>
    <row r="865" spans="2:14" x14ac:dyDescent="0.2">
      <c r="B865" s="15"/>
      <c r="C865" s="6"/>
      <c r="D865" s="12"/>
      <c r="E865" s="10" t="str">
        <f t="shared" si="66"/>
        <v/>
      </c>
      <c r="F865" s="16"/>
      <c r="G865" s="13"/>
      <c r="H865" s="6"/>
      <c r="I865" s="6"/>
      <c r="J865" s="11" t="str">
        <f t="shared" si="67"/>
        <v/>
      </c>
      <c r="K865" s="17" t="str">
        <f t="shared" si="68"/>
        <v/>
      </c>
      <c r="L865" s="18" t="str">
        <f t="shared" si="69"/>
        <v/>
      </c>
      <c r="M865" s="18" t="str">
        <f>IF(J865&lt;&gt;-1,"",ROUND(F865*IFERROR(INDEX(Stocuri!$G$5:$G$204,MATCH(D865,Coduri,0)),0),2))</f>
        <v/>
      </c>
      <c r="N865" s="19" t="str">
        <f t="shared" si="70"/>
        <v/>
      </c>
    </row>
    <row r="866" spans="2:14" x14ac:dyDescent="0.2">
      <c r="B866" s="15"/>
      <c r="C866" s="6"/>
      <c r="D866" s="12"/>
      <c r="E866" s="10" t="str">
        <f t="shared" si="66"/>
        <v/>
      </c>
      <c r="F866" s="16"/>
      <c r="G866" s="13"/>
      <c r="H866" s="6"/>
      <c r="I866" s="6"/>
      <c r="J866" s="11" t="str">
        <f t="shared" si="67"/>
        <v/>
      </c>
      <c r="K866" s="17" t="str">
        <f t="shared" si="68"/>
        <v/>
      </c>
      <c r="L866" s="18" t="str">
        <f t="shared" si="69"/>
        <v/>
      </c>
      <c r="M866" s="18" t="str">
        <f>IF(J866&lt;&gt;-1,"",ROUND(F866*IFERROR(INDEX(Stocuri!$G$5:$G$204,MATCH(D866,Coduri,0)),0),2))</f>
        <v/>
      </c>
      <c r="N866" s="19" t="str">
        <f t="shared" si="70"/>
        <v/>
      </c>
    </row>
    <row r="867" spans="2:14" x14ac:dyDescent="0.2">
      <c r="B867" s="15"/>
      <c r="C867" s="6"/>
      <c r="D867" s="12"/>
      <c r="E867" s="10" t="str">
        <f t="shared" si="66"/>
        <v/>
      </c>
      <c r="F867" s="16"/>
      <c r="G867" s="13"/>
      <c r="H867" s="6"/>
      <c r="I867" s="6"/>
      <c r="J867" s="11" t="str">
        <f t="shared" si="67"/>
        <v/>
      </c>
      <c r="K867" s="17" t="str">
        <f t="shared" si="68"/>
        <v/>
      </c>
      <c r="L867" s="18" t="str">
        <f t="shared" si="69"/>
        <v/>
      </c>
      <c r="M867" s="18" t="str">
        <f>IF(J867&lt;&gt;-1,"",ROUND(F867*IFERROR(INDEX(Stocuri!$G$5:$G$204,MATCH(D867,Coduri,0)),0),2))</f>
        <v/>
      </c>
      <c r="N867" s="19" t="str">
        <f t="shared" si="70"/>
        <v/>
      </c>
    </row>
    <row r="868" spans="2:14" x14ac:dyDescent="0.2">
      <c r="B868" s="15"/>
      <c r="C868" s="6"/>
      <c r="D868" s="12"/>
      <c r="E868" s="10" t="str">
        <f t="shared" si="66"/>
        <v/>
      </c>
      <c r="F868" s="16"/>
      <c r="G868" s="13"/>
      <c r="H868" s="6"/>
      <c r="I868" s="6"/>
      <c r="J868" s="11" t="str">
        <f t="shared" si="67"/>
        <v/>
      </c>
      <c r="K868" s="17" t="str">
        <f t="shared" si="68"/>
        <v/>
      </c>
      <c r="L868" s="18" t="str">
        <f t="shared" si="69"/>
        <v/>
      </c>
      <c r="M868" s="18" t="str">
        <f>IF(J868&lt;&gt;-1,"",ROUND(F868*IFERROR(INDEX(Stocuri!$G$5:$G$204,MATCH(D868,Coduri,0)),0),2))</f>
        <v/>
      </c>
      <c r="N868" s="19" t="str">
        <f t="shared" si="70"/>
        <v/>
      </c>
    </row>
    <row r="869" spans="2:14" x14ac:dyDescent="0.2">
      <c r="B869" s="15"/>
      <c r="C869" s="6"/>
      <c r="D869" s="12"/>
      <c r="E869" s="10" t="str">
        <f t="shared" si="66"/>
        <v/>
      </c>
      <c r="F869" s="16"/>
      <c r="G869" s="13"/>
      <c r="H869" s="6"/>
      <c r="I869" s="6"/>
      <c r="J869" s="11" t="str">
        <f t="shared" si="67"/>
        <v/>
      </c>
      <c r="K869" s="17" t="str">
        <f t="shared" si="68"/>
        <v/>
      </c>
      <c r="L869" s="18" t="str">
        <f t="shared" si="69"/>
        <v/>
      </c>
      <c r="M869" s="18" t="str">
        <f>IF(J869&lt;&gt;-1,"",ROUND(F869*IFERROR(INDEX(Stocuri!$G$5:$G$204,MATCH(D869,Coduri,0)),0),2))</f>
        <v/>
      </c>
      <c r="N869" s="19" t="str">
        <f t="shared" si="70"/>
        <v/>
      </c>
    </row>
    <row r="870" spans="2:14" x14ac:dyDescent="0.2">
      <c r="B870" s="15"/>
      <c r="C870" s="6"/>
      <c r="D870" s="12"/>
      <c r="E870" s="10" t="str">
        <f t="shared" si="66"/>
        <v/>
      </c>
      <c r="F870" s="16"/>
      <c r="G870" s="13"/>
      <c r="H870" s="6"/>
      <c r="I870" s="6"/>
      <c r="J870" s="11" t="str">
        <f t="shared" si="67"/>
        <v/>
      </c>
      <c r="K870" s="17" t="str">
        <f t="shared" si="68"/>
        <v/>
      </c>
      <c r="L870" s="18" t="str">
        <f t="shared" si="69"/>
        <v/>
      </c>
      <c r="M870" s="18" t="str">
        <f>IF(J870&lt;&gt;-1,"",ROUND(F870*IFERROR(INDEX(Stocuri!$G$5:$G$204,MATCH(D870,Coduri,0)),0),2))</f>
        <v/>
      </c>
      <c r="N870" s="19" t="str">
        <f t="shared" si="70"/>
        <v/>
      </c>
    </row>
    <row r="871" spans="2:14" x14ac:dyDescent="0.2">
      <c r="B871" s="15"/>
      <c r="C871" s="6"/>
      <c r="D871" s="12"/>
      <c r="E871" s="10" t="str">
        <f t="shared" si="66"/>
        <v/>
      </c>
      <c r="F871" s="16"/>
      <c r="G871" s="13"/>
      <c r="H871" s="6"/>
      <c r="I871" s="6"/>
      <c r="J871" s="11" t="str">
        <f t="shared" si="67"/>
        <v/>
      </c>
      <c r="K871" s="17" t="str">
        <f t="shared" si="68"/>
        <v/>
      </c>
      <c r="L871" s="18" t="str">
        <f t="shared" si="69"/>
        <v/>
      </c>
      <c r="M871" s="18" t="str">
        <f>IF(J871&lt;&gt;-1,"",ROUND(F871*IFERROR(INDEX(Stocuri!$G$5:$G$204,MATCH(D871,Coduri,0)),0),2))</f>
        <v/>
      </c>
      <c r="N871" s="19" t="str">
        <f t="shared" si="70"/>
        <v/>
      </c>
    </row>
    <row r="872" spans="2:14" x14ac:dyDescent="0.2">
      <c r="B872" s="15"/>
      <c r="C872" s="6"/>
      <c r="D872" s="12"/>
      <c r="E872" s="10" t="str">
        <f t="shared" si="66"/>
        <v/>
      </c>
      <c r="F872" s="16"/>
      <c r="G872" s="13"/>
      <c r="H872" s="6"/>
      <c r="I872" s="6"/>
      <c r="J872" s="11" t="str">
        <f t="shared" si="67"/>
        <v/>
      </c>
      <c r="K872" s="17" t="str">
        <f t="shared" si="68"/>
        <v/>
      </c>
      <c r="L872" s="18" t="str">
        <f t="shared" si="69"/>
        <v/>
      </c>
      <c r="M872" s="18" t="str">
        <f>IF(J872&lt;&gt;-1,"",ROUND(F872*IFERROR(INDEX(Stocuri!$G$5:$G$204,MATCH(D872,Coduri,0)),0),2))</f>
        <v/>
      </c>
      <c r="N872" s="19" t="str">
        <f t="shared" si="70"/>
        <v/>
      </c>
    </row>
    <row r="873" spans="2:14" x14ac:dyDescent="0.2">
      <c r="B873" s="15"/>
      <c r="C873" s="6"/>
      <c r="D873" s="12"/>
      <c r="E873" s="10" t="str">
        <f t="shared" si="66"/>
        <v/>
      </c>
      <c r="F873" s="16"/>
      <c r="G873" s="13"/>
      <c r="H873" s="6"/>
      <c r="I873" s="6"/>
      <c r="J873" s="11" t="str">
        <f t="shared" si="67"/>
        <v/>
      </c>
      <c r="K873" s="17" t="str">
        <f t="shared" si="68"/>
        <v/>
      </c>
      <c r="L873" s="18" t="str">
        <f t="shared" si="69"/>
        <v/>
      </c>
      <c r="M873" s="18" t="str">
        <f>IF(J873&lt;&gt;-1,"",ROUND(F873*IFERROR(INDEX(Stocuri!$G$5:$G$204,MATCH(D873,Coduri,0)),0),2))</f>
        <v/>
      </c>
      <c r="N873" s="19" t="str">
        <f t="shared" si="70"/>
        <v/>
      </c>
    </row>
    <row r="874" spans="2:14" x14ac:dyDescent="0.2">
      <c r="B874" s="15"/>
      <c r="C874" s="6"/>
      <c r="D874" s="12"/>
      <c r="E874" s="10" t="str">
        <f t="shared" si="66"/>
        <v/>
      </c>
      <c r="F874" s="16"/>
      <c r="G874" s="13"/>
      <c r="H874" s="6"/>
      <c r="I874" s="6"/>
      <c r="J874" s="11" t="str">
        <f t="shared" si="67"/>
        <v/>
      </c>
      <c r="K874" s="17" t="str">
        <f t="shared" si="68"/>
        <v/>
      </c>
      <c r="L874" s="18" t="str">
        <f t="shared" si="69"/>
        <v/>
      </c>
      <c r="M874" s="18" t="str">
        <f>IF(J874&lt;&gt;-1,"",ROUND(F874*IFERROR(INDEX(Stocuri!$G$5:$G$204,MATCH(D874,Coduri,0)),0),2))</f>
        <v/>
      </c>
      <c r="N874" s="19" t="str">
        <f t="shared" si="70"/>
        <v/>
      </c>
    </row>
    <row r="875" spans="2:14" x14ac:dyDescent="0.2">
      <c r="B875" s="15"/>
      <c r="C875" s="6"/>
      <c r="D875" s="12"/>
      <c r="E875" s="10" t="str">
        <f t="shared" si="66"/>
        <v/>
      </c>
      <c r="F875" s="16"/>
      <c r="G875" s="13"/>
      <c r="H875" s="6"/>
      <c r="I875" s="6"/>
      <c r="J875" s="11" t="str">
        <f t="shared" si="67"/>
        <v/>
      </c>
      <c r="K875" s="17" t="str">
        <f t="shared" si="68"/>
        <v/>
      </c>
      <c r="L875" s="18" t="str">
        <f t="shared" si="69"/>
        <v/>
      </c>
      <c r="M875" s="18" t="str">
        <f>IF(J875&lt;&gt;-1,"",ROUND(F875*IFERROR(INDEX(Stocuri!$G$5:$G$204,MATCH(D875,Coduri,0)),0),2))</f>
        <v/>
      </c>
      <c r="N875" s="19" t="str">
        <f t="shared" si="70"/>
        <v/>
      </c>
    </row>
    <row r="876" spans="2:14" x14ac:dyDescent="0.2">
      <c r="B876" s="15"/>
      <c r="C876" s="6"/>
      <c r="D876" s="12"/>
      <c r="E876" s="10" t="str">
        <f t="shared" si="66"/>
        <v/>
      </c>
      <c r="F876" s="16"/>
      <c r="G876" s="13"/>
      <c r="H876" s="6"/>
      <c r="I876" s="6"/>
      <c r="J876" s="11" t="str">
        <f t="shared" si="67"/>
        <v/>
      </c>
      <c r="K876" s="17" t="str">
        <f t="shared" si="68"/>
        <v/>
      </c>
      <c r="L876" s="18" t="str">
        <f t="shared" si="69"/>
        <v/>
      </c>
      <c r="M876" s="18" t="str">
        <f>IF(J876&lt;&gt;-1,"",ROUND(F876*IFERROR(INDEX(Stocuri!$G$5:$G$204,MATCH(D876,Coduri,0)),0),2))</f>
        <v/>
      </c>
      <c r="N876" s="19" t="str">
        <f t="shared" si="70"/>
        <v/>
      </c>
    </row>
    <row r="877" spans="2:14" x14ac:dyDescent="0.2">
      <c r="B877" s="15"/>
      <c r="C877" s="6"/>
      <c r="D877" s="12"/>
      <c r="E877" s="10" t="str">
        <f t="shared" si="66"/>
        <v/>
      </c>
      <c r="F877" s="16"/>
      <c r="G877" s="13"/>
      <c r="H877" s="6"/>
      <c r="I877" s="6"/>
      <c r="J877" s="11" t="str">
        <f t="shared" si="67"/>
        <v/>
      </c>
      <c r="K877" s="17" t="str">
        <f t="shared" si="68"/>
        <v/>
      </c>
      <c r="L877" s="18" t="str">
        <f t="shared" si="69"/>
        <v/>
      </c>
      <c r="M877" s="18" t="str">
        <f>IF(J877&lt;&gt;-1,"",ROUND(F877*IFERROR(INDEX(Stocuri!$G$5:$G$204,MATCH(D877,Coduri,0)),0),2))</f>
        <v/>
      </c>
      <c r="N877" s="19" t="str">
        <f t="shared" si="70"/>
        <v/>
      </c>
    </row>
    <row r="878" spans="2:14" x14ac:dyDescent="0.2">
      <c r="B878" s="15"/>
      <c r="C878" s="6"/>
      <c r="D878" s="12"/>
      <c r="E878" s="10" t="str">
        <f t="shared" si="66"/>
        <v/>
      </c>
      <c r="F878" s="16"/>
      <c r="G878" s="13"/>
      <c r="H878" s="6"/>
      <c r="I878" s="6"/>
      <c r="J878" s="11" t="str">
        <f t="shared" si="67"/>
        <v/>
      </c>
      <c r="K878" s="17" t="str">
        <f t="shared" si="68"/>
        <v/>
      </c>
      <c r="L878" s="18" t="str">
        <f t="shared" si="69"/>
        <v/>
      </c>
      <c r="M878" s="18" t="str">
        <f>IF(J878&lt;&gt;-1,"",ROUND(F878*IFERROR(INDEX(Stocuri!$G$5:$G$204,MATCH(D878,Coduri,0)),0),2))</f>
        <v/>
      </c>
      <c r="N878" s="19" t="str">
        <f t="shared" si="70"/>
        <v/>
      </c>
    </row>
    <row r="879" spans="2:14" x14ac:dyDescent="0.2">
      <c r="B879" s="15"/>
      <c r="C879" s="6"/>
      <c r="D879" s="12"/>
      <c r="E879" s="10" t="str">
        <f t="shared" si="66"/>
        <v/>
      </c>
      <c r="F879" s="16"/>
      <c r="G879" s="13"/>
      <c r="H879" s="6"/>
      <c r="I879" s="6"/>
      <c r="J879" s="11" t="str">
        <f t="shared" si="67"/>
        <v/>
      </c>
      <c r="K879" s="17" t="str">
        <f t="shared" si="68"/>
        <v/>
      </c>
      <c r="L879" s="18" t="str">
        <f t="shared" si="69"/>
        <v/>
      </c>
      <c r="M879" s="18" t="str">
        <f>IF(J879&lt;&gt;-1,"",ROUND(F879*IFERROR(INDEX(Stocuri!$G$5:$G$204,MATCH(D879,Coduri,0)),0),2))</f>
        <v/>
      </c>
      <c r="N879" s="19" t="str">
        <f t="shared" si="70"/>
        <v/>
      </c>
    </row>
    <row r="880" spans="2:14" x14ac:dyDescent="0.2">
      <c r="B880" s="15"/>
      <c r="C880" s="6"/>
      <c r="D880" s="12"/>
      <c r="E880" s="10" t="str">
        <f t="shared" si="66"/>
        <v/>
      </c>
      <c r="F880" s="16"/>
      <c r="G880" s="13"/>
      <c r="H880" s="6"/>
      <c r="I880" s="6"/>
      <c r="J880" s="11" t="str">
        <f t="shared" si="67"/>
        <v/>
      </c>
      <c r="K880" s="17" t="str">
        <f t="shared" si="68"/>
        <v/>
      </c>
      <c r="L880" s="18" t="str">
        <f t="shared" si="69"/>
        <v/>
      </c>
      <c r="M880" s="18" t="str">
        <f>IF(J880&lt;&gt;-1,"",ROUND(F880*IFERROR(INDEX(Stocuri!$G$5:$G$204,MATCH(D880,Coduri,0)),0),2))</f>
        <v/>
      </c>
      <c r="N880" s="19" t="str">
        <f t="shared" si="70"/>
        <v/>
      </c>
    </row>
    <row r="881" spans="2:14" x14ac:dyDescent="0.2">
      <c r="B881" s="15"/>
      <c r="C881" s="6"/>
      <c r="D881" s="12"/>
      <c r="E881" s="10" t="str">
        <f t="shared" si="66"/>
        <v/>
      </c>
      <c r="F881" s="16"/>
      <c r="G881" s="13"/>
      <c r="H881" s="6"/>
      <c r="I881" s="6"/>
      <c r="J881" s="11" t="str">
        <f t="shared" si="67"/>
        <v/>
      </c>
      <c r="K881" s="17" t="str">
        <f t="shared" si="68"/>
        <v/>
      </c>
      <c r="L881" s="18" t="str">
        <f t="shared" si="69"/>
        <v/>
      </c>
      <c r="M881" s="18" t="str">
        <f>IF(J881&lt;&gt;-1,"",ROUND(F881*IFERROR(INDEX(Stocuri!$G$5:$G$204,MATCH(D881,Coduri,0)),0),2))</f>
        <v/>
      </c>
      <c r="N881" s="19" t="str">
        <f t="shared" si="70"/>
        <v/>
      </c>
    </row>
    <row r="882" spans="2:14" x14ac:dyDescent="0.2">
      <c r="B882" s="15"/>
      <c r="C882" s="6"/>
      <c r="D882" s="12"/>
      <c r="E882" s="10" t="str">
        <f t="shared" si="66"/>
        <v/>
      </c>
      <c r="F882" s="16"/>
      <c r="G882" s="13"/>
      <c r="H882" s="6"/>
      <c r="I882" s="6"/>
      <c r="J882" s="11" t="str">
        <f t="shared" si="67"/>
        <v/>
      </c>
      <c r="K882" s="17" t="str">
        <f t="shared" si="68"/>
        <v/>
      </c>
      <c r="L882" s="18" t="str">
        <f t="shared" si="69"/>
        <v/>
      </c>
      <c r="M882" s="18" t="str">
        <f>IF(J882&lt;&gt;-1,"",ROUND(F882*IFERROR(INDEX(Stocuri!$G$5:$G$204,MATCH(D882,Coduri,0)),0),2))</f>
        <v/>
      </c>
      <c r="N882" s="19" t="str">
        <f t="shared" si="70"/>
        <v/>
      </c>
    </row>
    <row r="883" spans="2:14" x14ac:dyDescent="0.2">
      <c r="B883" s="15"/>
      <c r="C883" s="6"/>
      <c r="D883" s="12"/>
      <c r="E883" s="10" t="str">
        <f t="shared" si="66"/>
        <v/>
      </c>
      <c r="F883" s="16"/>
      <c r="G883" s="13"/>
      <c r="H883" s="6"/>
      <c r="I883" s="6"/>
      <c r="J883" s="11" t="str">
        <f t="shared" si="67"/>
        <v/>
      </c>
      <c r="K883" s="17" t="str">
        <f t="shared" si="68"/>
        <v/>
      </c>
      <c r="L883" s="18" t="str">
        <f t="shared" si="69"/>
        <v/>
      </c>
      <c r="M883" s="18" t="str">
        <f>IF(J883&lt;&gt;-1,"",ROUND(F883*IFERROR(INDEX(Stocuri!$G$5:$G$204,MATCH(D883,Coduri,0)),0),2))</f>
        <v/>
      </c>
      <c r="N883" s="19" t="str">
        <f t="shared" si="70"/>
        <v/>
      </c>
    </row>
    <row r="884" spans="2:14" x14ac:dyDescent="0.2">
      <c r="B884" s="15"/>
      <c r="C884" s="6"/>
      <c r="D884" s="12"/>
      <c r="E884" s="10" t="str">
        <f t="shared" si="66"/>
        <v/>
      </c>
      <c r="F884" s="16"/>
      <c r="G884" s="13"/>
      <c r="H884" s="6"/>
      <c r="I884" s="6"/>
      <c r="J884" s="11" t="str">
        <f t="shared" si="67"/>
        <v/>
      </c>
      <c r="K884" s="17" t="str">
        <f t="shared" si="68"/>
        <v/>
      </c>
      <c r="L884" s="18" t="str">
        <f t="shared" si="69"/>
        <v/>
      </c>
      <c r="M884" s="18" t="str">
        <f>IF(J884&lt;&gt;-1,"",ROUND(F884*IFERROR(INDEX(Stocuri!$G$5:$G$204,MATCH(D884,Coduri,0)),0),2))</f>
        <v/>
      </c>
      <c r="N884" s="19" t="str">
        <f t="shared" si="70"/>
        <v/>
      </c>
    </row>
    <row r="885" spans="2:14" x14ac:dyDescent="0.2">
      <c r="B885" s="15"/>
      <c r="C885" s="6"/>
      <c r="D885" s="12"/>
      <c r="E885" s="10" t="str">
        <f t="shared" si="66"/>
        <v/>
      </c>
      <c r="F885" s="16"/>
      <c r="G885" s="13"/>
      <c r="H885" s="6"/>
      <c r="I885" s="6"/>
      <c r="J885" s="11" t="str">
        <f t="shared" si="67"/>
        <v/>
      </c>
      <c r="K885" s="17" t="str">
        <f t="shared" si="68"/>
        <v/>
      </c>
      <c r="L885" s="18" t="str">
        <f t="shared" si="69"/>
        <v/>
      </c>
      <c r="M885" s="18" t="str">
        <f>IF(J885&lt;&gt;-1,"",ROUND(F885*IFERROR(INDEX(Stocuri!$G$5:$G$204,MATCH(D885,Coduri,0)),0),2))</f>
        <v/>
      </c>
      <c r="N885" s="19" t="str">
        <f t="shared" si="70"/>
        <v/>
      </c>
    </row>
    <row r="886" spans="2:14" x14ac:dyDescent="0.2">
      <c r="B886" s="15"/>
      <c r="C886" s="6"/>
      <c r="D886" s="12"/>
      <c r="E886" s="10" t="str">
        <f t="shared" si="66"/>
        <v/>
      </c>
      <c r="F886" s="16"/>
      <c r="G886" s="13"/>
      <c r="H886" s="6"/>
      <c r="I886" s="6"/>
      <c r="J886" s="11" t="str">
        <f t="shared" si="67"/>
        <v/>
      </c>
      <c r="K886" s="17" t="str">
        <f t="shared" si="68"/>
        <v/>
      </c>
      <c r="L886" s="18" t="str">
        <f t="shared" si="69"/>
        <v/>
      </c>
      <c r="M886" s="18" t="str">
        <f>IF(J886&lt;&gt;-1,"",ROUND(F886*IFERROR(INDEX(Stocuri!$G$5:$G$204,MATCH(D886,Coduri,0)),0),2))</f>
        <v/>
      </c>
      <c r="N886" s="19" t="str">
        <f t="shared" si="70"/>
        <v/>
      </c>
    </row>
    <row r="887" spans="2:14" x14ac:dyDescent="0.2">
      <c r="B887" s="15"/>
      <c r="C887" s="6"/>
      <c r="D887" s="12"/>
      <c r="E887" s="10" t="str">
        <f t="shared" si="66"/>
        <v/>
      </c>
      <c r="F887" s="16"/>
      <c r="G887" s="13"/>
      <c r="H887" s="6"/>
      <c r="I887" s="6"/>
      <c r="J887" s="11" t="str">
        <f t="shared" si="67"/>
        <v/>
      </c>
      <c r="K887" s="17" t="str">
        <f t="shared" si="68"/>
        <v/>
      </c>
      <c r="L887" s="18" t="str">
        <f t="shared" si="69"/>
        <v/>
      </c>
      <c r="M887" s="18" t="str">
        <f>IF(J887&lt;&gt;-1,"",ROUND(F887*IFERROR(INDEX(Stocuri!$G$5:$G$204,MATCH(D887,Coduri,0)),0),2))</f>
        <v/>
      </c>
      <c r="N887" s="19" t="str">
        <f t="shared" si="70"/>
        <v/>
      </c>
    </row>
    <row r="888" spans="2:14" x14ac:dyDescent="0.2">
      <c r="B888" s="15"/>
      <c r="C888" s="6"/>
      <c r="D888" s="12"/>
      <c r="E888" s="10" t="str">
        <f t="shared" si="66"/>
        <v/>
      </c>
      <c r="F888" s="16"/>
      <c r="G888" s="13"/>
      <c r="H888" s="6"/>
      <c r="I888" s="6"/>
      <c r="J888" s="11" t="str">
        <f t="shared" si="67"/>
        <v/>
      </c>
      <c r="K888" s="17" t="str">
        <f t="shared" si="68"/>
        <v/>
      </c>
      <c r="L888" s="18" t="str">
        <f t="shared" si="69"/>
        <v/>
      </c>
      <c r="M888" s="18" t="str">
        <f>IF(J888&lt;&gt;-1,"",ROUND(F888*IFERROR(INDEX(Stocuri!$G$5:$G$204,MATCH(D888,Coduri,0)),0),2))</f>
        <v/>
      </c>
      <c r="N888" s="19" t="str">
        <f t="shared" si="70"/>
        <v/>
      </c>
    </row>
    <row r="889" spans="2:14" x14ac:dyDescent="0.2">
      <c r="B889" s="15"/>
      <c r="C889" s="6"/>
      <c r="D889" s="12"/>
      <c r="E889" s="10" t="str">
        <f t="shared" si="66"/>
        <v/>
      </c>
      <c r="F889" s="16"/>
      <c r="G889" s="13"/>
      <c r="H889" s="6"/>
      <c r="I889" s="6"/>
      <c r="J889" s="11" t="str">
        <f t="shared" si="67"/>
        <v/>
      </c>
      <c r="K889" s="17" t="str">
        <f t="shared" si="68"/>
        <v/>
      </c>
      <c r="L889" s="18" t="str">
        <f t="shared" si="69"/>
        <v/>
      </c>
      <c r="M889" s="18" t="str">
        <f>IF(J889&lt;&gt;-1,"",ROUND(F889*IFERROR(INDEX(Stocuri!$G$5:$G$204,MATCH(D889,Coduri,0)),0),2))</f>
        <v/>
      </c>
      <c r="N889" s="19" t="str">
        <f t="shared" si="70"/>
        <v/>
      </c>
    </row>
    <row r="890" spans="2:14" x14ac:dyDescent="0.2">
      <c r="B890" s="15"/>
      <c r="C890" s="6"/>
      <c r="D890" s="12"/>
      <c r="E890" s="10" t="str">
        <f t="shared" si="66"/>
        <v/>
      </c>
      <c r="F890" s="16"/>
      <c r="G890" s="13"/>
      <c r="H890" s="6"/>
      <c r="I890" s="6"/>
      <c r="J890" s="11" t="str">
        <f t="shared" si="67"/>
        <v/>
      </c>
      <c r="K890" s="17" t="str">
        <f t="shared" si="68"/>
        <v/>
      </c>
      <c r="L890" s="18" t="str">
        <f t="shared" si="69"/>
        <v/>
      </c>
      <c r="M890" s="18" t="str">
        <f>IF(J890&lt;&gt;-1,"",ROUND(F890*IFERROR(INDEX(Stocuri!$G$5:$G$204,MATCH(D890,Coduri,0)),0),2))</f>
        <v/>
      </c>
      <c r="N890" s="19" t="str">
        <f t="shared" si="70"/>
        <v/>
      </c>
    </row>
    <row r="891" spans="2:14" x14ac:dyDescent="0.2">
      <c r="B891" s="15"/>
      <c r="C891" s="6"/>
      <c r="D891" s="12"/>
      <c r="E891" s="10" t="str">
        <f t="shared" si="66"/>
        <v/>
      </c>
      <c r="F891" s="16"/>
      <c r="G891" s="13"/>
      <c r="H891" s="6"/>
      <c r="I891" s="6"/>
      <c r="J891" s="11" t="str">
        <f t="shared" si="67"/>
        <v/>
      </c>
      <c r="K891" s="17" t="str">
        <f t="shared" si="68"/>
        <v/>
      </c>
      <c r="L891" s="18" t="str">
        <f t="shared" si="69"/>
        <v/>
      </c>
      <c r="M891" s="18" t="str">
        <f>IF(J891&lt;&gt;-1,"",ROUND(F891*IFERROR(INDEX(Stocuri!$G$5:$G$204,MATCH(D891,Coduri,0)),0),2))</f>
        <v/>
      </c>
      <c r="N891" s="19" t="str">
        <f t="shared" si="70"/>
        <v/>
      </c>
    </row>
    <row r="892" spans="2:14" x14ac:dyDescent="0.2">
      <c r="B892" s="15"/>
      <c r="C892" s="6"/>
      <c r="D892" s="12"/>
      <c r="E892" s="10" t="str">
        <f t="shared" si="66"/>
        <v/>
      </c>
      <c r="F892" s="16"/>
      <c r="G892" s="13"/>
      <c r="H892" s="6"/>
      <c r="I892" s="6"/>
      <c r="J892" s="11" t="str">
        <f t="shared" si="67"/>
        <v/>
      </c>
      <c r="K892" s="17" t="str">
        <f t="shared" si="68"/>
        <v/>
      </c>
      <c r="L892" s="18" t="str">
        <f t="shared" si="69"/>
        <v/>
      </c>
      <c r="M892" s="18" t="str">
        <f>IF(J892&lt;&gt;-1,"",ROUND(F892*IFERROR(INDEX(Stocuri!$G$5:$G$204,MATCH(D892,Coduri,0)),0),2))</f>
        <v/>
      </c>
      <c r="N892" s="19" t="str">
        <f t="shared" si="70"/>
        <v/>
      </c>
    </row>
    <row r="893" spans="2:14" x14ac:dyDescent="0.2">
      <c r="B893" s="15"/>
      <c r="C893" s="6"/>
      <c r="D893" s="12"/>
      <c r="E893" s="10" t="str">
        <f t="shared" si="66"/>
        <v/>
      </c>
      <c r="F893" s="16"/>
      <c r="G893" s="13"/>
      <c r="H893" s="6"/>
      <c r="I893" s="6"/>
      <c r="J893" s="11" t="str">
        <f t="shared" si="67"/>
        <v/>
      </c>
      <c r="K893" s="17" t="str">
        <f t="shared" si="68"/>
        <v/>
      </c>
      <c r="L893" s="18" t="str">
        <f t="shared" si="69"/>
        <v/>
      </c>
      <c r="M893" s="18" t="str">
        <f>IF(J893&lt;&gt;-1,"",ROUND(F893*IFERROR(INDEX(Stocuri!$G$5:$G$204,MATCH(D893,Coduri,0)),0),2))</f>
        <v/>
      </c>
      <c r="N893" s="19" t="str">
        <f t="shared" si="70"/>
        <v/>
      </c>
    </row>
    <row r="894" spans="2:14" x14ac:dyDescent="0.2">
      <c r="B894" s="15"/>
      <c r="C894" s="6"/>
      <c r="D894" s="12"/>
      <c r="E894" s="10" t="str">
        <f t="shared" si="66"/>
        <v/>
      </c>
      <c r="F894" s="16"/>
      <c r="G894" s="13"/>
      <c r="H894" s="6"/>
      <c r="I894" s="6"/>
      <c r="J894" s="11" t="str">
        <f t="shared" si="67"/>
        <v/>
      </c>
      <c r="K894" s="17" t="str">
        <f t="shared" si="68"/>
        <v/>
      </c>
      <c r="L894" s="18" t="str">
        <f t="shared" si="69"/>
        <v/>
      </c>
      <c r="M894" s="18" t="str">
        <f>IF(J894&lt;&gt;-1,"",ROUND(F894*IFERROR(INDEX(Stocuri!$G$5:$G$204,MATCH(D894,Coduri,0)),0),2))</f>
        <v/>
      </c>
      <c r="N894" s="19" t="str">
        <f t="shared" si="70"/>
        <v/>
      </c>
    </row>
    <row r="895" spans="2:14" x14ac:dyDescent="0.2">
      <c r="B895" s="15"/>
      <c r="C895" s="6"/>
      <c r="D895" s="12"/>
      <c r="E895" s="10" t="str">
        <f t="shared" si="66"/>
        <v/>
      </c>
      <c r="F895" s="16"/>
      <c r="G895" s="13"/>
      <c r="H895" s="6"/>
      <c r="I895" s="6"/>
      <c r="J895" s="11" t="str">
        <f t="shared" si="67"/>
        <v/>
      </c>
      <c r="K895" s="17" t="str">
        <f t="shared" si="68"/>
        <v/>
      </c>
      <c r="L895" s="18" t="str">
        <f t="shared" si="69"/>
        <v/>
      </c>
      <c r="M895" s="18" t="str">
        <f>IF(J895&lt;&gt;-1,"",ROUND(F895*IFERROR(INDEX(Stocuri!$G$5:$G$204,MATCH(D895,Coduri,0)),0),2))</f>
        <v/>
      </c>
      <c r="N895" s="19" t="str">
        <f t="shared" si="70"/>
        <v/>
      </c>
    </row>
    <row r="896" spans="2:14" x14ac:dyDescent="0.2">
      <c r="B896" s="15"/>
      <c r="C896" s="6"/>
      <c r="D896" s="12"/>
      <c r="E896" s="10" t="str">
        <f t="shared" si="66"/>
        <v/>
      </c>
      <c r="F896" s="16"/>
      <c r="G896" s="13"/>
      <c r="H896" s="6"/>
      <c r="I896" s="6"/>
      <c r="J896" s="11" t="str">
        <f t="shared" si="67"/>
        <v/>
      </c>
      <c r="K896" s="17" t="str">
        <f t="shared" si="68"/>
        <v/>
      </c>
      <c r="L896" s="18" t="str">
        <f t="shared" si="69"/>
        <v/>
      </c>
      <c r="M896" s="18" t="str">
        <f>IF(J896&lt;&gt;-1,"",ROUND(F896*IFERROR(INDEX(Stocuri!$G$5:$G$204,MATCH(D896,Coduri,0)),0),2))</f>
        <v/>
      </c>
      <c r="N896" s="19" t="str">
        <f t="shared" si="70"/>
        <v/>
      </c>
    </row>
    <row r="897" spans="2:14" x14ac:dyDescent="0.2">
      <c r="B897" s="15"/>
      <c r="C897" s="6"/>
      <c r="D897" s="12"/>
      <c r="E897" s="10" t="str">
        <f t="shared" si="66"/>
        <v/>
      </c>
      <c r="F897" s="16"/>
      <c r="G897" s="13"/>
      <c r="H897" s="6"/>
      <c r="I897" s="6"/>
      <c r="J897" s="11" t="str">
        <f t="shared" si="67"/>
        <v/>
      </c>
      <c r="K897" s="17" t="str">
        <f t="shared" si="68"/>
        <v/>
      </c>
      <c r="L897" s="18" t="str">
        <f t="shared" si="69"/>
        <v/>
      </c>
      <c r="M897" s="18" t="str">
        <f>IF(J897&lt;&gt;-1,"",ROUND(F897*IFERROR(INDEX(Stocuri!$G$5:$G$204,MATCH(D897,Coduri,0)),0),2))</f>
        <v/>
      </c>
      <c r="N897" s="19" t="str">
        <f t="shared" si="70"/>
        <v/>
      </c>
    </row>
    <row r="898" spans="2:14" x14ac:dyDescent="0.2">
      <c r="B898" s="15"/>
      <c r="C898" s="6"/>
      <c r="D898" s="12"/>
      <c r="E898" s="10" t="str">
        <f t="shared" si="66"/>
        <v/>
      </c>
      <c r="F898" s="16"/>
      <c r="G898" s="13"/>
      <c r="H898" s="6"/>
      <c r="I898" s="6"/>
      <c r="J898" s="11" t="str">
        <f t="shared" si="67"/>
        <v/>
      </c>
      <c r="K898" s="17" t="str">
        <f t="shared" si="68"/>
        <v/>
      </c>
      <c r="L898" s="18" t="str">
        <f t="shared" si="69"/>
        <v/>
      </c>
      <c r="M898" s="18" t="str">
        <f>IF(J898&lt;&gt;-1,"",ROUND(F898*IFERROR(INDEX(Stocuri!$G$5:$G$204,MATCH(D898,Coduri,0)),0),2))</f>
        <v/>
      </c>
      <c r="N898" s="19" t="str">
        <f t="shared" si="70"/>
        <v/>
      </c>
    </row>
    <row r="899" spans="2:14" x14ac:dyDescent="0.2">
      <c r="B899" s="15"/>
      <c r="C899" s="6"/>
      <c r="D899" s="12"/>
      <c r="E899" s="10" t="str">
        <f t="shared" si="66"/>
        <v/>
      </c>
      <c r="F899" s="16"/>
      <c r="G899" s="13"/>
      <c r="H899" s="6"/>
      <c r="I899" s="6"/>
      <c r="J899" s="11" t="str">
        <f t="shared" si="67"/>
        <v/>
      </c>
      <c r="K899" s="17" t="str">
        <f t="shared" si="68"/>
        <v/>
      </c>
      <c r="L899" s="18" t="str">
        <f t="shared" si="69"/>
        <v/>
      </c>
      <c r="M899" s="18" t="str">
        <f>IF(J899&lt;&gt;-1,"",ROUND(F899*IFERROR(INDEX(Stocuri!$G$5:$G$204,MATCH(D899,Coduri,0)),0),2))</f>
        <v/>
      </c>
      <c r="N899" s="19" t="str">
        <f t="shared" si="70"/>
        <v/>
      </c>
    </row>
    <row r="900" spans="2:14" x14ac:dyDescent="0.2">
      <c r="B900" s="15"/>
      <c r="C900" s="6"/>
      <c r="D900" s="12"/>
      <c r="E900" s="10" t="str">
        <f t="shared" si="66"/>
        <v/>
      </c>
      <c r="F900" s="16"/>
      <c r="G900" s="13"/>
      <c r="H900" s="6"/>
      <c r="I900" s="6"/>
      <c r="J900" s="11" t="str">
        <f t="shared" si="67"/>
        <v/>
      </c>
      <c r="K900" s="17" t="str">
        <f t="shared" si="68"/>
        <v/>
      </c>
      <c r="L900" s="18" t="str">
        <f t="shared" si="69"/>
        <v/>
      </c>
      <c r="M900" s="18" t="str">
        <f>IF(J900&lt;&gt;-1,"",ROUND(F900*IFERROR(INDEX(Stocuri!$G$5:$G$204,MATCH(D900,Coduri,0)),0),2))</f>
        <v/>
      </c>
      <c r="N900" s="19" t="str">
        <f t="shared" si="70"/>
        <v/>
      </c>
    </row>
    <row r="901" spans="2:14" x14ac:dyDescent="0.2">
      <c r="B901" s="15"/>
      <c r="C901" s="6"/>
      <c r="D901" s="12"/>
      <c r="E901" s="10" t="str">
        <f t="shared" ref="E901:E964" si="71">IF(D901="","",IFERROR(VLOOKUP(D901,Catalog,2,FALSE),""))</f>
        <v/>
      </c>
      <c r="F901" s="16"/>
      <c r="G901" s="13"/>
      <c r="H901" s="6"/>
      <c r="I901" s="6"/>
      <c r="J901" s="11" t="str">
        <f t="shared" ref="J901:J964" si="72">IF(C901="","",IFERROR(VLOOKUP(C901,TipSemn,2,FALSE),""))</f>
        <v/>
      </c>
      <c r="K901" s="17" t="str">
        <f t="shared" ref="K901:K964" si="73">IF(OR(J901="",F901=""),"",J901*F901)</f>
        <v/>
      </c>
      <c r="L901" s="18" t="str">
        <f t="shared" ref="L901:L964" si="74">IF(OR(J901&lt;&gt;1,G901=""),"",ROUND(F901*G901,2))</f>
        <v/>
      </c>
      <c r="M901" s="18" t="str">
        <f>IF(J901&lt;&gt;-1,"",ROUND(F901*IFERROR(INDEX(Stocuri!$G$5:$G$204,MATCH(D901,Coduri,0)),0),2))</f>
        <v/>
      </c>
      <c r="N901" s="19" t="str">
        <f t="shared" ref="N901:N964" si="75">IF(AND(B901="",D901=""),"",TRIM(IF(OR(B901="",C901="",D901="",F901=""),"Date incomplete. ","")&amp;IF(AND(D901&lt;&gt;"",E901=""),"Cod necunoscut. ","")&amp;IF(AND(J901=1,C901&lt;&gt;"Retur de la client",C901&lt;&gt;"Ajustare inventar +",G901=""),"Lipsește prețul de intrare. ","")&amp;IF(AND(J901=-1,D901&lt;&gt;"",SUMIFS($K$5:$K$2004,$D$5:$D$2004,D901,$B$5:$B$2004,"&lt;="&amp;B901)&lt;0),"Stoc insuficient la această dată. ","")&amp;IF(AND(C901&lt;&gt;"Stoc inițial",H901=""),"Lipsește documentul. ","")))</f>
        <v/>
      </c>
    </row>
    <row r="902" spans="2:14" x14ac:dyDescent="0.2">
      <c r="B902" s="15"/>
      <c r="C902" s="6"/>
      <c r="D902" s="12"/>
      <c r="E902" s="10" t="str">
        <f t="shared" si="71"/>
        <v/>
      </c>
      <c r="F902" s="16"/>
      <c r="G902" s="13"/>
      <c r="H902" s="6"/>
      <c r="I902" s="6"/>
      <c r="J902" s="11" t="str">
        <f t="shared" si="72"/>
        <v/>
      </c>
      <c r="K902" s="17" t="str">
        <f t="shared" si="73"/>
        <v/>
      </c>
      <c r="L902" s="18" t="str">
        <f t="shared" si="74"/>
        <v/>
      </c>
      <c r="M902" s="18" t="str">
        <f>IF(J902&lt;&gt;-1,"",ROUND(F902*IFERROR(INDEX(Stocuri!$G$5:$G$204,MATCH(D902,Coduri,0)),0),2))</f>
        <v/>
      </c>
      <c r="N902" s="19" t="str">
        <f t="shared" si="75"/>
        <v/>
      </c>
    </row>
    <row r="903" spans="2:14" x14ac:dyDescent="0.2">
      <c r="B903" s="15"/>
      <c r="C903" s="6"/>
      <c r="D903" s="12"/>
      <c r="E903" s="10" t="str">
        <f t="shared" si="71"/>
        <v/>
      </c>
      <c r="F903" s="16"/>
      <c r="G903" s="13"/>
      <c r="H903" s="6"/>
      <c r="I903" s="6"/>
      <c r="J903" s="11" t="str">
        <f t="shared" si="72"/>
        <v/>
      </c>
      <c r="K903" s="17" t="str">
        <f t="shared" si="73"/>
        <v/>
      </c>
      <c r="L903" s="18" t="str">
        <f t="shared" si="74"/>
        <v/>
      </c>
      <c r="M903" s="18" t="str">
        <f>IF(J903&lt;&gt;-1,"",ROUND(F903*IFERROR(INDEX(Stocuri!$G$5:$G$204,MATCH(D903,Coduri,0)),0),2))</f>
        <v/>
      </c>
      <c r="N903" s="19" t="str">
        <f t="shared" si="75"/>
        <v/>
      </c>
    </row>
    <row r="904" spans="2:14" x14ac:dyDescent="0.2">
      <c r="B904" s="15"/>
      <c r="C904" s="6"/>
      <c r="D904" s="12"/>
      <c r="E904" s="10" t="str">
        <f t="shared" si="71"/>
        <v/>
      </c>
      <c r="F904" s="16"/>
      <c r="G904" s="13"/>
      <c r="H904" s="6"/>
      <c r="I904" s="6"/>
      <c r="J904" s="11" t="str">
        <f t="shared" si="72"/>
        <v/>
      </c>
      <c r="K904" s="17" t="str">
        <f t="shared" si="73"/>
        <v/>
      </c>
      <c r="L904" s="18" t="str">
        <f t="shared" si="74"/>
        <v/>
      </c>
      <c r="M904" s="18" t="str">
        <f>IF(J904&lt;&gt;-1,"",ROUND(F904*IFERROR(INDEX(Stocuri!$G$5:$G$204,MATCH(D904,Coduri,0)),0),2))</f>
        <v/>
      </c>
      <c r="N904" s="19" t="str">
        <f t="shared" si="75"/>
        <v/>
      </c>
    </row>
    <row r="905" spans="2:14" x14ac:dyDescent="0.2">
      <c r="B905" s="15"/>
      <c r="C905" s="6"/>
      <c r="D905" s="12"/>
      <c r="E905" s="10" t="str">
        <f t="shared" si="71"/>
        <v/>
      </c>
      <c r="F905" s="16"/>
      <c r="G905" s="13"/>
      <c r="H905" s="6"/>
      <c r="I905" s="6"/>
      <c r="J905" s="11" t="str">
        <f t="shared" si="72"/>
        <v/>
      </c>
      <c r="K905" s="17" t="str">
        <f t="shared" si="73"/>
        <v/>
      </c>
      <c r="L905" s="18" t="str">
        <f t="shared" si="74"/>
        <v/>
      </c>
      <c r="M905" s="18" t="str">
        <f>IF(J905&lt;&gt;-1,"",ROUND(F905*IFERROR(INDEX(Stocuri!$G$5:$G$204,MATCH(D905,Coduri,0)),0),2))</f>
        <v/>
      </c>
      <c r="N905" s="19" t="str">
        <f t="shared" si="75"/>
        <v/>
      </c>
    </row>
    <row r="906" spans="2:14" x14ac:dyDescent="0.2">
      <c r="B906" s="15"/>
      <c r="C906" s="6"/>
      <c r="D906" s="12"/>
      <c r="E906" s="10" t="str">
        <f t="shared" si="71"/>
        <v/>
      </c>
      <c r="F906" s="16"/>
      <c r="G906" s="13"/>
      <c r="H906" s="6"/>
      <c r="I906" s="6"/>
      <c r="J906" s="11" t="str">
        <f t="shared" si="72"/>
        <v/>
      </c>
      <c r="K906" s="17" t="str">
        <f t="shared" si="73"/>
        <v/>
      </c>
      <c r="L906" s="18" t="str">
        <f t="shared" si="74"/>
        <v/>
      </c>
      <c r="M906" s="18" t="str">
        <f>IF(J906&lt;&gt;-1,"",ROUND(F906*IFERROR(INDEX(Stocuri!$G$5:$G$204,MATCH(D906,Coduri,0)),0),2))</f>
        <v/>
      </c>
      <c r="N906" s="19" t="str">
        <f t="shared" si="75"/>
        <v/>
      </c>
    </row>
    <row r="907" spans="2:14" x14ac:dyDescent="0.2">
      <c r="B907" s="15"/>
      <c r="C907" s="6"/>
      <c r="D907" s="12"/>
      <c r="E907" s="10" t="str">
        <f t="shared" si="71"/>
        <v/>
      </c>
      <c r="F907" s="16"/>
      <c r="G907" s="13"/>
      <c r="H907" s="6"/>
      <c r="I907" s="6"/>
      <c r="J907" s="11" t="str">
        <f t="shared" si="72"/>
        <v/>
      </c>
      <c r="K907" s="17" t="str">
        <f t="shared" si="73"/>
        <v/>
      </c>
      <c r="L907" s="18" t="str">
        <f t="shared" si="74"/>
        <v/>
      </c>
      <c r="M907" s="18" t="str">
        <f>IF(J907&lt;&gt;-1,"",ROUND(F907*IFERROR(INDEX(Stocuri!$G$5:$G$204,MATCH(D907,Coduri,0)),0),2))</f>
        <v/>
      </c>
      <c r="N907" s="19" t="str">
        <f t="shared" si="75"/>
        <v/>
      </c>
    </row>
    <row r="908" spans="2:14" x14ac:dyDescent="0.2">
      <c r="B908" s="15"/>
      <c r="C908" s="6"/>
      <c r="D908" s="12"/>
      <c r="E908" s="10" t="str">
        <f t="shared" si="71"/>
        <v/>
      </c>
      <c r="F908" s="16"/>
      <c r="G908" s="13"/>
      <c r="H908" s="6"/>
      <c r="I908" s="6"/>
      <c r="J908" s="11" t="str">
        <f t="shared" si="72"/>
        <v/>
      </c>
      <c r="K908" s="17" t="str">
        <f t="shared" si="73"/>
        <v/>
      </c>
      <c r="L908" s="18" t="str">
        <f t="shared" si="74"/>
        <v/>
      </c>
      <c r="M908" s="18" t="str">
        <f>IF(J908&lt;&gt;-1,"",ROUND(F908*IFERROR(INDEX(Stocuri!$G$5:$G$204,MATCH(D908,Coduri,0)),0),2))</f>
        <v/>
      </c>
      <c r="N908" s="19" t="str">
        <f t="shared" si="75"/>
        <v/>
      </c>
    </row>
    <row r="909" spans="2:14" x14ac:dyDescent="0.2">
      <c r="B909" s="15"/>
      <c r="C909" s="6"/>
      <c r="D909" s="12"/>
      <c r="E909" s="10" t="str">
        <f t="shared" si="71"/>
        <v/>
      </c>
      <c r="F909" s="16"/>
      <c r="G909" s="13"/>
      <c r="H909" s="6"/>
      <c r="I909" s="6"/>
      <c r="J909" s="11" t="str">
        <f t="shared" si="72"/>
        <v/>
      </c>
      <c r="K909" s="17" t="str">
        <f t="shared" si="73"/>
        <v/>
      </c>
      <c r="L909" s="18" t="str">
        <f t="shared" si="74"/>
        <v/>
      </c>
      <c r="M909" s="18" t="str">
        <f>IF(J909&lt;&gt;-1,"",ROUND(F909*IFERROR(INDEX(Stocuri!$G$5:$G$204,MATCH(D909,Coduri,0)),0),2))</f>
        <v/>
      </c>
      <c r="N909" s="19" t="str">
        <f t="shared" si="75"/>
        <v/>
      </c>
    </row>
    <row r="910" spans="2:14" x14ac:dyDescent="0.2">
      <c r="B910" s="15"/>
      <c r="C910" s="6"/>
      <c r="D910" s="12"/>
      <c r="E910" s="10" t="str">
        <f t="shared" si="71"/>
        <v/>
      </c>
      <c r="F910" s="16"/>
      <c r="G910" s="13"/>
      <c r="H910" s="6"/>
      <c r="I910" s="6"/>
      <c r="J910" s="11" t="str">
        <f t="shared" si="72"/>
        <v/>
      </c>
      <c r="K910" s="17" t="str">
        <f t="shared" si="73"/>
        <v/>
      </c>
      <c r="L910" s="18" t="str">
        <f t="shared" si="74"/>
        <v/>
      </c>
      <c r="M910" s="18" t="str">
        <f>IF(J910&lt;&gt;-1,"",ROUND(F910*IFERROR(INDEX(Stocuri!$G$5:$G$204,MATCH(D910,Coduri,0)),0),2))</f>
        <v/>
      </c>
      <c r="N910" s="19" t="str">
        <f t="shared" si="75"/>
        <v/>
      </c>
    </row>
    <row r="911" spans="2:14" x14ac:dyDescent="0.2">
      <c r="B911" s="15"/>
      <c r="C911" s="6"/>
      <c r="D911" s="12"/>
      <c r="E911" s="10" t="str">
        <f t="shared" si="71"/>
        <v/>
      </c>
      <c r="F911" s="16"/>
      <c r="G911" s="13"/>
      <c r="H911" s="6"/>
      <c r="I911" s="6"/>
      <c r="J911" s="11" t="str">
        <f t="shared" si="72"/>
        <v/>
      </c>
      <c r="K911" s="17" t="str">
        <f t="shared" si="73"/>
        <v/>
      </c>
      <c r="L911" s="18" t="str">
        <f t="shared" si="74"/>
        <v/>
      </c>
      <c r="M911" s="18" t="str">
        <f>IF(J911&lt;&gt;-1,"",ROUND(F911*IFERROR(INDEX(Stocuri!$G$5:$G$204,MATCH(D911,Coduri,0)),0),2))</f>
        <v/>
      </c>
      <c r="N911" s="19" t="str">
        <f t="shared" si="75"/>
        <v/>
      </c>
    </row>
    <row r="912" spans="2:14" x14ac:dyDescent="0.2">
      <c r="B912" s="15"/>
      <c r="C912" s="6"/>
      <c r="D912" s="12"/>
      <c r="E912" s="10" t="str">
        <f t="shared" si="71"/>
        <v/>
      </c>
      <c r="F912" s="16"/>
      <c r="G912" s="13"/>
      <c r="H912" s="6"/>
      <c r="I912" s="6"/>
      <c r="J912" s="11" t="str">
        <f t="shared" si="72"/>
        <v/>
      </c>
      <c r="K912" s="17" t="str">
        <f t="shared" si="73"/>
        <v/>
      </c>
      <c r="L912" s="18" t="str">
        <f t="shared" si="74"/>
        <v/>
      </c>
      <c r="M912" s="18" t="str">
        <f>IF(J912&lt;&gt;-1,"",ROUND(F912*IFERROR(INDEX(Stocuri!$G$5:$G$204,MATCH(D912,Coduri,0)),0),2))</f>
        <v/>
      </c>
      <c r="N912" s="19" t="str">
        <f t="shared" si="75"/>
        <v/>
      </c>
    </row>
    <row r="913" spans="2:14" x14ac:dyDescent="0.2">
      <c r="B913" s="15"/>
      <c r="C913" s="6"/>
      <c r="D913" s="12"/>
      <c r="E913" s="10" t="str">
        <f t="shared" si="71"/>
        <v/>
      </c>
      <c r="F913" s="16"/>
      <c r="G913" s="13"/>
      <c r="H913" s="6"/>
      <c r="I913" s="6"/>
      <c r="J913" s="11" t="str">
        <f t="shared" si="72"/>
        <v/>
      </c>
      <c r="K913" s="17" t="str">
        <f t="shared" si="73"/>
        <v/>
      </c>
      <c r="L913" s="18" t="str">
        <f t="shared" si="74"/>
        <v/>
      </c>
      <c r="M913" s="18" t="str">
        <f>IF(J913&lt;&gt;-1,"",ROUND(F913*IFERROR(INDEX(Stocuri!$G$5:$G$204,MATCH(D913,Coduri,0)),0),2))</f>
        <v/>
      </c>
      <c r="N913" s="19" t="str">
        <f t="shared" si="75"/>
        <v/>
      </c>
    </row>
    <row r="914" spans="2:14" x14ac:dyDescent="0.2">
      <c r="B914" s="15"/>
      <c r="C914" s="6"/>
      <c r="D914" s="12"/>
      <c r="E914" s="10" t="str">
        <f t="shared" si="71"/>
        <v/>
      </c>
      <c r="F914" s="16"/>
      <c r="G914" s="13"/>
      <c r="H914" s="6"/>
      <c r="I914" s="6"/>
      <c r="J914" s="11" t="str">
        <f t="shared" si="72"/>
        <v/>
      </c>
      <c r="K914" s="17" t="str">
        <f t="shared" si="73"/>
        <v/>
      </c>
      <c r="L914" s="18" t="str">
        <f t="shared" si="74"/>
        <v/>
      </c>
      <c r="M914" s="18" t="str">
        <f>IF(J914&lt;&gt;-1,"",ROUND(F914*IFERROR(INDEX(Stocuri!$G$5:$G$204,MATCH(D914,Coduri,0)),0),2))</f>
        <v/>
      </c>
      <c r="N914" s="19" t="str">
        <f t="shared" si="75"/>
        <v/>
      </c>
    </row>
    <row r="915" spans="2:14" x14ac:dyDescent="0.2">
      <c r="B915" s="15"/>
      <c r="C915" s="6"/>
      <c r="D915" s="12"/>
      <c r="E915" s="10" t="str">
        <f t="shared" si="71"/>
        <v/>
      </c>
      <c r="F915" s="16"/>
      <c r="G915" s="13"/>
      <c r="H915" s="6"/>
      <c r="I915" s="6"/>
      <c r="J915" s="11" t="str">
        <f t="shared" si="72"/>
        <v/>
      </c>
      <c r="K915" s="17" t="str">
        <f t="shared" si="73"/>
        <v/>
      </c>
      <c r="L915" s="18" t="str">
        <f t="shared" si="74"/>
        <v/>
      </c>
      <c r="M915" s="18" t="str">
        <f>IF(J915&lt;&gt;-1,"",ROUND(F915*IFERROR(INDEX(Stocuri!$G$5:$G$204,MATCH(D915,Coduri,0)),0),2))</f>
        <v/>
      </c>
      <c r="N915" s="19" t="str">
        <f t="shared" si="75"/>
        <v/>
      </c>
    </row>
    <row r="916" spans="2:14" x14ac:dyDescent="0.2">
      <c r="B916" s="15"/>
      <c r="C916" s="6"/>
      <c r="D916" s="12"/>
      <c r="E916" s="10" t="str">
        <f t="shared" si="71"/>
        <v/>
      </c>
      <c r="F916" s="16"/>
      <c r="G916" s="13"/>
      <c r="H916" s="6"/>
      <c r="I916" s="6"/>
      <c r="J916" s="11" t="str">
        <f t="shared" si="72"/>
        <v/>
      </c>
      <c r="K916" s="17" t="str">
        <f t="shared" si="73"/>
        <v/>
      </c>
      <c r="L916" s="18" t="str">
        <f t="shared" si="74"/>
        <v/>
      </c>
      <c r="M916" s="18" t="str">
        <f>IF(J916&lt;&gt;-1,"",ROUND(F916*IFERROR(INDEX(Stocuri!$G$5:$G$204,MATCH(D916,Coduri,0)),0),2))</f>
        <v/>
      </c>
      <c r="N916" s="19" t="str">
        <f t="shared" si="75"/>
        <v/>
      </c>
    </row>
    <row r="917" spans="2:14" x14ac:dyDescent="0.2">
      <c r="B917" s="15"/>
      <c r="C917" s="6"/>
      <c r="D917" s="12"/>
      <c r="E917" s="10" t="str">
        <f t="shared" si="71"/>
        <v/>
      </c>
      <c r="F917" s="16"/>
      <c r="G917" s="13"/>
      <c r="H917" s="6"/>
      <c r="I917" s="6"/>
      <c r="J917" s="11" t="str">
        <f t="shared" si="72"/>
        <v/>
      </c>
      <c r="K917" s="17" t="str">
        <f t="shared" si="73"/>
        <v/>
      </c>
      <c r="L917" s="18" t="str">
        <f t="shared" si="74"/>
        <v/>
      </c>
      <c r="M917" s="18" t="str">
        <f>IF(J917&lt;&gt;-1,"",ROUND(F917*IFERROR(INDEX(Stocuri!$G$5:$G$204,MATCH(D917,Coduri,0)),0),2))</f>
        <v/>
      </c>
      <c r="N917" s="19" t="str">
        <f t="shared" si="75"/>
        <v/>
      </c>
    </row>
    <row r="918" spans="2:14" x14ac:dyDescent="0.2">
      <c r="B918" s="15"/>
      <c r="C918" s="6"/>
      <c r="D918" s="12"/>
      <c r="E918" s="10" t="str">
        <f t="shared" si="71"/>
        <v/>
      </c>
      <c r="F918" s="16"/>
      <c r="G918" s="13"/>
      <c r="H918" s="6"/>
      <c r="I918" s="6"/>
      <c r="J918" s="11" t="str">
        <f t="shared" si="72"/>
        <v/>
      </c>
      <c r="K918" s="17" t="str">
        <f t="shared" si="73"/>
        <v/>
      </c>
      <c r="L918" s="18" t="str">
        <f t="shared" si="74"/>
        <v/>
      </c>
      <c r="M918" s="18" t="str">
        <f>IF(J918&lt;&gt;-1,"",ROUND(F918*IFERROR(INDEX(Stocuri!$G$5:$G$204,MATCH(D918,Coduri,0)),0),2))</f>
        <v/>
      </c>
      <c r="N918" s="19" t="str">
        <f t="shared" si="75"/>
        <v/>
      </c>
    </row>
    <row r="919" spans="2:14" x14ac:dyDescent="0.2">
      <c r="B919" s="15"/>
      <c r="C919" s="6"/>
      <c r="D919" s="12"/>
      <c r="E919" s="10" t="str">
        <f t="shared" si="71"/>
        <v/>
      </c>
      <c r="F919" s="16"/>
      <c r="G919" s="13"/>
      <c r="H919" s="6"/>
      <c r="I919" s="6"/>
      <c r="J919" s="11" t="str">
        <f t="shared" si="72"/>
        <v/>
      </c>
      <c r="K919" s="17" t="str">
        <f t="shared" si="73"/>
        <v/>
      </c>
      <c r="L919" s="18" t="str">
        <f t="shared" si="74"/>
        <v/>
      </c>
      <c r="M919" s="18" t="str">
        <f>IF(J919&lt;&gt;-1,"",ROUND(F919*IFERROR(INDEX(Stocuri!$G$5:$G$204,MATCH(D919,Coduri,0)),0),2))</f>
        <v/>
      </c>
      <c r="N919" s="19" t="str">
        <f t="shared" si="75"/>
        <v/>
      </c>
    </row>
    <row r="920" spans="2:14" x14ac:dyDescent="0.2">
      <c r="B920" s="15"/>
      <c r="C920" s="6"/>
      <c r="D920" s="12"/>
      <c r="E920" s="10" t="str">
        <f t="shared" si="71"/>
        <v/>
      </c>
      <c r="F920" s="16"/>
      <c r="G920" s="13"/>
      <c r="H920" s="6"/>
      <c r="I920" s="6"/>
      <c r="J920" s="11" t="str">
        <f t="shared" si="72"/>
        <v/>
      </c>
      <c r="K920" s="17" t="str">
        <f t="shared" si="73"/>
        <v/>
      </c>
      <c r="L920" s="18" t="str">
        <f t="shared" si="74"/>
        <v/>
      </c>
      <c r="M920" s="18" t="str">
        <f>IF(J920&lt;&gt;-1,"",ROUND(F920*IFERROR(INDEX(Stocuri!$G$5:$G$204,MATCH(D920,Coduri,0)),0),2))</f>
        <v/>
      </c>
      <c r="N920" s="19" t="str">
        <f t="shared" si="75"/>
        <v/>
      </c>
    </row>
    <row r="921" spans="2:14" x14ac:dyDescent="0.2">
      <c r="B921" s="15"/>
      <c r="C921" s="6"/>
      <c r="D921" s="12"/>
      <c r="E921" s="10" t="str">
        <f t="shared" si="71"/>
        <v/>
      </c>
      <c r="F921" s="16"/>
      <c r="G921" s="13"/>
      <c r="H921" s="6"/>
      <c r="I921" s="6"/>
      <c r="J921" s="11" t="str">
        <f t="shared" si="72"/>
        <v/>
      </c>
      <c r="K921" s="17" t="str">
        <f t="shared" si="73"/>
        <v/>
      </c>
      <c r="L921" s="18" t="str">
        <f t="shared" si="74"/>
        <v/>
      </c>
      <c r="M921" s="18" t="str">
        <f>IF(J921&lt;&gt;-1,"",ROUND(F921*IFERROR(INDEX(Stocuri!$G$5:$G$204,MATCH(D921,Coduri,0)),0),2))</f>
        <v/>
      </c>
      <c r="N921" s="19" t="str">
        <f t="shared" si="75"/>
        <v/>
      </c>
    </row>
    <row r="922" spans="2:14" x14ac:dyDescent="0.2">
      <c r="B922" s="15"/>
      <c r="C922" s="6"/>
      <c r="D922" s="12"/>
      <c r="E922" s="10" t="str">
        <f t="shared" si="71"/>
        <v/>
      </c>
      <c r="F922" s="16"/>
      <c r="G922" s="13"/>
      <c r="H922" s="6"/>
      <c r="I922" s="6"/>
      <c r="J922" s="11" t="str">
        <f t="shared" si="72"/>
        <v/>
      </c>
      <c r="K922" s="17" t="str">
        <f t="shared" si="73"/>
        <v/>
      </c>
      <c r="L922" s="18" t="str">
        <f t="shared" si="74"/>
        <v/>
      </c>
      <c r="M922" s="18" t="str">
        <f>IF(J922&lt;&gt;-1,"",ROUND(F922*IFERROR(INDEX(Stocuri!$G$5:$G$204,MATCH(D922,Coduri,0)),0),2))</f>
        <v/>
      </c>
      <c r="N922" s="19" t="str">
        <f t="shared" si="75"/>
        <v/>
      </c>
    </row>
    <row r="923" spans="2:14" x14ac:dyDescent="0.2">
      <c r="B923" s="15"/>
      <c r="C923" s="6"/>
      <c r="D923" s="12"/>
      <c r="E923" s="10" t="str">
        <f t="shared" si="71"/>
        <v/>
      </c>
      <c r="F923" s="16"/>
      <c r="G923" s="13"/>
      <c r="H923" s="6"/>
      <c r="I923" s="6"/>
      <c r="J923" s="11" t="str">
        <f t="shared" si="72"/>
        <v/>
      </c>
      <c r="K923" s="17" t="str">
        <f t="shared" si="73"/>
        <v/>
      </c>
      <c r="L923" s="18" t="str">
        <f t="shared" si="74"/>
        <v/>
      </c>
      <c r="M923" s="18" t="str">
        <f>IF(J923&lt;&gt;-1,"",ROUND(F923*IFERROR(INDEX(Stocuri!$G$5:$G$204,MATCH(D923,Coduri,0)),0),2))</f>
        <v/>
      </c>
      <c r="N923" s="19" t="str">
        <f t="shared" si="75"/>
        <v/>
      </c>
    </row>
    <row r="924" spans="2:14" x14ac:dyDescent="0.2">
      <c r="B924" s="15"/>
      <c r="C924" s="6"/>
      <c r="D924" s="12"/>
      <c r="E924" s="10" t="str">
        <f t="shared" si="71"/>
        <v/>
      </c>
      <c r="F924" s="16"/>
      <c r="G924" s="13"/>
      <c r="H924" s="6"/>
      <c r="I924" s="6"/>
      <c r="J924" s="11" t="str">
        <f t="shared" si="72"/>
        <v/>
      </c>
      <c r="K924" s="17" t="str">
        <f t="shared" si="73"/>
        <v/>
      </c>
      <c r="L924" s="18" t="str">
        <f t="shared" si="74"/>
        <v/>
      </c>
      <c r="M924" s="18" t="str">
        <f>IF(J924&lt;&gt;-1,"",ROUND(F924*IFERROR(INDEX(Stocuri!$G$5:$G$204,MATCH(D924,Coduri,0)),0),2))</f>
        <v/>
      </c>
      <c r="N924" s="19" t="str">
        <f t="shared" si="75"/>
        <v/>
      </c>
    </row>
    <row r="925" spans="2:14" x14ac:dyDescent="0.2">
      <c r="B925" s="15"/>
      <c r="C925" s="6"/>
      <c r="D925" s="12"/>
      <c r="E925" s="10" t="str">
        <f t="shared" si="71"/>
        <v/>
      </c>
      <c r="F925" s="16"/>
      <c r="G925" s="13"/>
      <c r="H925" s="6"/>
      <c r="I925" s="6"/>
      <c r="J925" s="11" t="str">
        <f t="shared" si="72"/>
        <v/>
      </c>
      <c r="K925" s="17" t="str">
        <f t="shared" si="73"/>
        <v/>
      </c>
      <c r="L925" s="18" t="str">
        <f t="shared" si="74"/>
        <v/>
      </c>
      <c r="M925" s="18" t="str">
        <f>IF(J925&lt;&gt;-1,"",ROUND(F925*IFERROR(INDEX(Stocuri!$G$5:$G$204,MATCH(D925,Coduri,0)),0),2))</f>
        <v/>
      </c>
      <c r="N925" s="19" t="str">
        <f t="shared" si="75"/>
        <v/>
      </c>
    </row>
    <row r="926" spans="2:14" x14ac:dyDescent="0.2">
      <c r="B926" s="15"/>
      <c r="C926" s="6"/>
      <c r="D926" s="12"/>
      <c r="E926" s="10" t="str">
        <f t="shared" si="71"/>
        <v/>
      </c>
      <c r="F926" s="16"/>
      <c r="G926" s="13"/>
      <c r="H926" s="6"/>
      <c r="I926" s="6"/>
      <c r="J926" s="11" t="str">
        <f t="shared" si="72"/>
        <v/>
      </c>
      <c r="K926" s="17" t="str">
        <f t="shared" si="73"/>
        <v/>
      </c>
      <c r="L926" s="18" t="str">
        <f t="shared" si="74"/>
        <v/>
      </c>
      <c r="M926" s="18" t="str">
        <f>IF(J926&lt;&gt;-1,"",ROUND(F926*IFERROR(INDEX(Stocuri!$G$5:$G$204,MATCH(D926,Coduri,0)),0),2))</f>
        <v/>
      </c>
      <c r="N926" s="19" t="str">
        <f t="shared" si="75"/>
        <v/>
      </c>
    </row>
    <row r="927" spans="2:14" x14ac:dyDescent="0.2">
      <c r="B927" s="15"/>
      <c r="C927" s="6"/>
      <c r="D927" s="12"/>
      <c r="E927" s="10" t="str">
        <f t="shared" si="71"/>
        <v/>
      </c>
      <c r="F927" s="16"/>
      <c r="G927" s="13"/>
      <c r="H927" s="6"/>
      <c r="I927" s="6"/>
      <c r="J927" s="11" t="str">
        <f t="shared" si="72"/>
        <v/>
      </c>
      <c r="K927" s="17" t="str">
        <f t="shared" si="73"/>
        <v/>
      </c>
      <c r="L927" s="18" t="str">
        <f t="shared" si="74"/>
        <v/>
      </c>
      <c r="M927" s="18" t="str">
        <f>IF(J927&lt;&gt;-1,"",ROUND(F927*IFERROR(INDEX(Stocuri!$G$5:$G$204,MATCH(D927,Coduri,0)),0),2))</f>
        <v/>
      </c>
      <c r="N927" s="19" t="str">
        <f t="shared" si="75"/>
        <v/>
      </c>
    </row>
    <row r="928" spans="2:14" x14ac:dyDescent="0.2">
      <c r="B928" s="15"/>
      <c r="C928" s="6"/>
      <c r="D928" s="12"/>
      <c r="E928" s="10" t="str">
        <f t="shared" si="71"/>
        <v/>
      </c>
      <c r="F928" s="16"/>
      <c r="G928" s="13"/>
      <c r="H928" s="6"/>
      <c r="I928" s="6"/>
      <c r="J928" s="11" t="str">
        <f t="shared" si="72"/>
        <v/>
      </c>
      <c r="K928" s="17" t="str">
        <f t="shared" si="73"/>
        <v/>
      </c>
      <c r="L928" s="18" t="str">
        <f t="shared" si="74"/>
        <v/>
      </c>
      <c r="M928" s="18" t="str">
        <f>IF(J928&lt;&gt;-1,"",ROUND(F928*IFERROR(INDEX(Stocuri!$G$5:$G$204,MATCH(D928,Coduri,0)),0),2))</f>
        <v/>
      </c>
      <c r="N928" s="19" t="str">
        <f t="shared" si="75"/>
        <v/>
      </c>
    </row>
    <row r="929" spans="2:14" x14ac:dyDescent="0.2">
      <c r="B929" s="15"/>
      <c r="C929" s="6"/>
      <c r="D929" s="12"/>
      <c r="E929" s="10" t="str">
        <f t="shared" si="71"/>
        <v/>
      </c>
      <c r="F929" s="16"/>
      <c r="G929" s="13"/>
      <c r="H929" s="6"/>
      <c r="I929" s="6"/>
      <c r="J929" s="11" t="str">
        <f t="shared" si="72"/>
        <v/>
      </c>
      <c r="K929" s="17" t="str">
        <f t="shared" si="73"/>
        <v/>
      </c>
      <c r="L929" s="18" t="str">
        <f t="shared" si="74"/>
        <v/>
      </c>
      <c r="M929" s="18" t="str">
        <f>IF(J929&lt;&gt;-1,"",ROUND(F929*IFERROR(INDEX(Stocuri!$G$5:$G$204,MATCH(D929,Coduri,0)),0),2))</f>
        <v/>
      </c>
      <c r="N929" s="19" t="str">
        <f t="shared" si="75"/>
        <v/>
      </c>
    </row>
    <row r="930" spans="2:14" x14ac:dyDescent="0.2">
      <c r="B930" s="15"/>
      <c r="C930" s="6"/>
      <c r="D930" s="12"/>
      <c r="E930" s="10" t="str">
        <f t="shared" si="71"/>
        <v/>
      </c>
      <c r="F930" s="16"/>
      <c r="G930" s="13"/>
      <c r="H930" s="6"/>
      <c r="I930" s="6"/>
      <c r="J930" s="11" t="str">
        <f t="shared" si="72"/>
        <v/>
      </c>
      <c r="K930" s="17" t="str">
        <f t="shared" si="73"/>
        <v/>
      </c>
      <c r="L930" s="18" t="str">
        <f t="shared" si="74"/>
        <v/>
      </c>
      <c r="M930" s="18" t="str">
        <f>IF(J930&lt;&gt;-1,"",ROUND(F930*IFERROR(INDEX(Stocuri!$G$5:$G$204,MATCH(D930,Coduri,0)),0),2))</f>
        <v/>
      </c>
      <c r="N930" s="19" t="str">
        <f t="shared" si="75"/>
        <v/>
      </c>
    </row>
    <row r="931" spans="2:14" x14ac:dyDescent="0.2">
      <c r="B931" s="15"/>
      <c r="C931" s="6"/>
      <c r="D931" s="12"/>
      <c r="E931" s="10" t="str">
        <f t="shared" si="71"/>
        <v/>
      </c>
      <c r="F931" s="16"/>
      <c r="G931" s="13"/>
      <c r="H931" s="6"/>
      <c r="I931" s="6"/>
      <c r="J931" s="11" t="str">
        <f t="shared" si="72"/>
        <v/>
      </c>
      <c r="K931" s="17" t="str">
        <f t="shared" si="73"/>
        <v/>
      </c>
      <c r="L931" s="18" t="str">
        <f t="shared" si="74"/>
        <v/>
      </c>
      <c r="M931" s="18" t="str">
        <f>IF(J931&lt;&gt;-1,"",ROUND(F931*IFERROR(INDEX(Stocuri!$G$5:$G$204,MATCH(D931,Coduri,0)),0),2))</f>
        <v/>
      </c>
      <c r="N931" s="19" t="str">
        <f t="shared" si="75"/>
        <v/>
      </c>
    </row>
    <row r="932" spans="2:14" x14ac:dyDescent="0.2">
      <c r="B932" s="15"/>
      <c r="C932" s="6"/>
      <c r="D932" s="12"/>
      <c r="E932" s="10" t="str">
        <f t="shared" si="71"/>
        <v/>
      </c>
      <c r="F932" s="16"/>
      <c r="G932" s="13"/>
      <c r="H932" s="6"/>
      <c r="I932" s="6"/>
      <c r="J932" s="11" t="str">
        <f t="shared" si="72"/>
        <v/>
      </c>
      <c r="K932" s="17" t="str">
        <f t="shared" si="73"/>
        <v/>
      </c>
      <c r="L932" s="18" t="str">
        <f t="shared" si="74"/>
        <v/>
      </c>
      <c r="M932" s="18" t="str">
        <f>IF(J932&lt;&gt;-1,"",ROUND(F932*IFERROR(INDEX(Stocuri!$G$5:$G$204,MATCH(D932,Coduri,0)),0),2))</f>
        <v/>
      </c>
      <c r="N932" s="19" t="str">
        <f t="shared" si="75"/>
        <v/>
      </c>
    </row>
    <row r="933" spans="2:14" x14ac:dyDescent="0.2">
      <c r="B933" s="15"/>
      <c r="C933" s="6"/>
      <c r="D933" s="12"/>
      <c r="E933" s="10" t="str">
        <f t="shared" si="71"/>
        <v/>
      </c>
      <c r="F933" s="16"/>
      <c r="G933" s="13"/>
      <c r="H933" s="6"/>
      <c r="I933" s="6"/>
      <c r="J933" s="11" t="str">
        <f t="shared" si="72"/>
        <v/>
      </c>
      <c r="K933" s="17" t="str">
        <f t="shared" si="73"/>
        <v/>
      </c>
      <c r="L933" s="18" t="str">
        <f t="shared" si="74"/>
        <v/>
      </c>
      <c r="M933" s="18" t="str">
        <f>IF(J933&lt;&gt;-1,"",ROUND(F933*IFERROR(INDEX(Stocuri!$G$5:$G$204,MATCH(D933,Coduri,0)),0),2))</f>
        <v/>
      </c>
      <c r="N933" s="19" t="str">
        <f t="shared" si="75"/>
        <v/>
      </c>
    </row>
    <row r="934" spans="2:14" x14ac:dyDescent="0.2">
      <c r="B934" s="15"/>
      <c r="C934" s="6"/>
      <c r="D934" s="12"/>
      <c r="E934" s="10" t="str">
        <f t="shared" si="71"/>
        <v/>
      </c>
      <c r="F934" s="16"/>
      <c r="G934" s="13"/>
      <c r="H934" s="6"/>
      <c r="I934" s="6"/>
      <c r="J934" s="11" t="str">
        <f t="shared" si="72"/>
        <v/>
      </c>
      <c r="K934" s="17" t="str">
        <f t="shared" si="73"/>
        <v/>
      </c>
      <c r="L934" s="18" t="str">
        <f t="shared" si="74"/>
        <v/>
      </c>
      <c r="M934" s="18" t="str">
        <f>IF(J934&lt;&gt;-1,"",ROUND(F934*IFERROR(INDEX(Stocuri!$G$5:$G$204,MATCH(D934,Coduri,0)),0),2))</f>
        <v/>
      </c>
      <c r="N934" s="19" t="str">
        <f t="shared" si="75"/>
        <v/>
      </c>
    </row>
    <row r="935" spans="2:14" x14ac:dyDescent="0.2">
      <c r="B935" s="15"/>
      <c r="C935" s="6"/>
      <c r="D935" s="12"/>
      <c r="E935" s="10" t="str">
        <f t="shared" si="71"/>
        <v/>
      </c>
      <c r="F935" s="16"/>
      <c r="G935" s="13"/>
      <c r="H935" s="6"/>
      <c r="I935" s="6"/>
      <c r="J935" s="11" t="str">
        <f t="shared" si="72"/>
        <v/>
      </c>
      <c r="K935" s="17" t="str">
        <f t="shared" si="73"/>
        <v/>
      </c>
      <c r="L935" s="18" t="str">
        <f t="shared" si="74"/>
        <v/>
      </c>
      <c r="M935" s="18" t="str">
        <f>IF(J935&lt;&gt;-1,"",ROUND(F935*IFERROR(INDEX(Stocuri!$G$5:$G$204,MATCH(D935,Coduri,0)),0),2))</f>
        <v/>
      </c>
      <c r="N935" s="19" t="str">
        <f t="shared" si="75"/>
        <v/>
      </c>
    </row>
    <row r="936" spans="2:14" x14ac:dyDescent="0.2">
      <c r="B936" s="15"/>
      <c r="C936" s="6"/>
      <c r="D936" s="12"/>
      <c r="E936" s="10" t="str">
        <f t="shared" si="71"/>
        <v/>
      </c>
      <c r="F936" s="16"/>
      <c r="G936" s="13"/>
      <c r="H936" s="6"/>
      <c r="I936" s="6"/>
      <c r="J936" s="11" t="str">
        <f t="shared" si="72"/>
        <v/>
      </c>
      <c r="K936" s="17" t="str">
        <f t="shared" si="73"/>
        <v/>
      </c>
      <c r="L936" s="18" t="str">
        <f t="shared" si="74"/>
        <v/>
      </c>
      <c r="M936" s="18" t="str">
        <f>IF(J936&lt;&gt;-1,"",ROUND(F936*IFERROR(INDEX(Stocuri!$G$5:$G$204,MATCH(D936,Coduri,0)),0),2))</f>
        <v/>
      </c>
      <c r="N936" s="19" t="str">
        <f t="shared" si="75"/>
        <v/>
      </c>
    </row>
    <row r="937" spans="2:14" x14ac:dyDescent="0.2">
      <c r="B937" s="15"/>
      <c r="C937" s="6"/>
      <c r="D937" s="12"/>
      <c r="E937" s="10" t="str">
        <f t="shared" si="71"/>
        <v/>
      </c>
      <c r="F937" s="16"/>
      <c r="G937" s="13"/>
      <c r="H937" s="6"/>
      <c r="I937" s="6"/>
      <c r="J937" s="11" t="str">
        <f t="shared" si="72"/>
        <v/>
      </c>
      <c r="K937" s="17" t="str">
        <f t="shared" si="73"/>
        <v/>
      </c>
      <c r="L937" s="18" t="str">
        <f t="shared" si="74"/>
        <v/>
      </c>
      <c r="M937" s="18" t="str">
        <f>IF(J937&lt;&gt;-1,"",ROUND(F937*IFERROR(INDEX(Stocuri!$G$5:$G$204,MATCH(D937,Coduri,0)),0),2))</f>
        <v/>
      </c>
      <c r="N937" s="19" t="str">
        <f t="shared" si="75"/>
        <v/>
      </c>
    </row>
    <row r="938" spans="2:14" x14ac:dyDescent="0.2">
      <c r="B938" s="15"/>
      <c r="C938" s="6"/>
      <c r="D938" s="12"/>
      <c r="E938" s="10" t="str">
        <f t="shared" si="71"/>
        <v/>
      </c>
      <c r="F938" s="16"/>
      <c r="G938" s="13"/>
      <c r="H938" s="6"/>
      <c r="I938" s="6"/>
      <c r="J938" s="11" t="str">
        <f t="shared" si="72"/>
        <v/>
      </c>
      <c r="K938" s="17" t="str">
        <f t="shared" si="73"/>
        <v/>
      </c>
      <c r="L938" s="18" t="str">
        <f t="shared" si="74"/>
        <v/>
      </c>
      <c r="M938" s="18" t="str">
        <f>IF(J938&lt;&gt;-1,"",ROUND(F938*IFERROR(INDEX(Stocuri!$G$5:$G$204,MATCH(D938,Coduri,0)),0),2))</f>
        <v/>
      </c>
      <c r="N938" s="19" t="str">
        <f t="shared" si="75"/>
        <v/>
      </c>
    </row>
    <row r="939" spans="2:14" x14ac:dyDescent="0.2">
      <c r="B939" s="15"/>
      <c r="C939" s="6"/>
      <c r="D939" s="12"/>
      <c r="E939" s="10" t="str">
        <f t="shared" si="71"/>
        <v/>
      </c>
      <c r="F939" s="16"/>
      <c r="G939" s="13"/>
      <c r="H939" s="6"/>
      <c r="I939" s="6"/>
      <c r="J939" s="11" t="str">
        <f t="shared" si="72"/>
        <v/>
      </c>
      <c r="K939" s="17" t="str">
        <f t="shared" si="73"/>
        <v/>
      </c>
      <c r="L939" s="18" t="str">
        <f t="shared" si="74"/>
        <v/>
      </c>
      <c r="M939" s="18" t="str">
        <f>IF(J939&lt;&gt;-1,"",ROUND(F939*IFERROR(INDEX(Stocuri!$G$5:$G$204,MATCH(D939,Coduri,0)),0),2))</f>
        <v/>
      </c>
      <c r="N939" s="19" t="str">
        <f t="shared" si="75"/>
        <v/>
      </c>
    </row>
    <row r="940" spans="2:14" x14ac:dyDescent="0.2">
      <c r="B940" s="15"/>
      <c r="C940" s="6"/>
      <c r="D940" s="12"/>
      <c r="E940" s="10" t="str">
        <f t="shared" si="71"/>
        <v/>
      </c>
      <c r="F940" s="16"/>
      <c r="G940" s="13"/>
      <c r="H940" s="6"/>
      <c r="I940" s="6"/>
      <c r="J940" s="11" t="str">
        <f t="shared" si="72"/>
        <v/>
      </c>
      <c r="K940" s="17" t="str">
        <f t="shared" si="73"/>
        <v/>
      </c>
      <c r="L940" s="18" t="str">
        <f t="shared" si="74"/>
        <v/>
      </c>
      <c r="M940" s="18" t="str">
        <f>IF(J940&lt;&gt;-1,"",ROUND(F940*IFERROR(INDEX(Stocuri!$G$5:$G$204,MATCH(D940,Coduri,0)),0),2))</f>
        <v/>
      </c>
      <c r="N940" s="19" t="str">
        <f t="shared" si="75"/>
        <v/>
      </c>
    </row>
    <row r="941" spans="2:14" x14ac:dyDescent="0.2">
      <c r="B941" s="15"/>
      <c r="C941" s="6"/>
      <c r="D941" s="12"/>
      <c r="E941" s="10" t="str">
        <f t="shared" si="71"/>
        <v/>
      </c>
      <c r="F941" s="16"/>
      <c r="G941" s="13"/>
      <c r="H941" s="6"/>
      <c r="I941" s="6"/>
      <c r="J941" s="11" t="str">
        <f t="shared" si="72"/>
        <v/>
      </c>
      <c r="K941" s="17" t="str">
        <f t="shared" si="73"/>
        <v/>
      </c>
      <c r="L941" s="18" t="str">
        <f t="shared" si="74"/>
        <v/>
      </c>
      <c r="M941" s="18" t="str">
        <f>IF(J941&lt;&gt;-1,"",ROUND(F941*IFERROR(INDEX(Stocuri!$G$5:$G$204,MATCH(D941,Coduri,0)),0),2))</f>
        <v/>
      </c>
      <c r="N941" s="19" t="str">
        <f t="shared" si="75"/>
        <v/>
      </c>
    </row>
    <row r="942" spans="2:14" x14ac:dyDescent="0.2">
      <c r="B942" s="15"/>
      <c r="C942" s="6"/>
      <c r="D942" s="12"/>
      <c r="E942" s="10" t="str">
        <f t="shared" si="71"/>
        <v/>
      </c>
      <c r="F942" s="16"/>
      <c r="G942" s="13"/>
      <c r="H942" s="6"/>
      <c r="I942" s="6"/>
      <c r="J942" s="11" t="str">
        <f t="shared" si="72"/>
        <v/>
      </c>
      <c r="K942" s="17" t="str">
        <f t="shared" si="73"/>
        <v/>
      </c>
      <c r="L942" s="18" t="str">
        <f t="shared" si="74"/>
        <v/>
      </c>
      <c r="M942" s="18" t="str">
        <f>IF(J942&lt;&gt;-1,"",ROUND(F942*IFERROR(INDEX(Stocuri!$G$5:$G$204,MATCH(D942,Coduri,0)),0),2))</f>
        <v/>
      </c>
      <c r="N942" s="19" t="str">
        <f t="shared" si="75"/>
        <v/>
      </c>
    </row>
    <row r="943" spans="2:14" x14ac:dyDescent="0.2">
      <c r="B943" s="15"/>
      <c r="C943" s="6"/>
      <c r="D943" s="12"/>
      <c r="E943" s="10" t="str">
        <f t="shared" si="71"/>
        <v/>
      </c>
      <c r="F943" s="16"/>
      <c r="G943" s="13"/>
      <c r="H943" s="6"/>
      <c r="I943" s="6"/>
      <c r="J943" s="11" t="str">
        <f t="shared" si="72"/>
        <v/>
      </c>
      <c r="K943" s="17" t="str">
        <f t="shared" si="73"/>
        <v/>
      </c>
      <c r="L943" s="18" t="str">
        <f t="shared" si="74"/>
        <v/>
      </c>
      <c r="M943" s="18" t="str">
        <f>IF(J943&lt;&gt;-1,"",ROUND(F943*IFERROR(INDEX(Stocuri!$G$5:$G$204,MATCH(D943,Coduri,0)),0),2))</f>
        <v/>
      </c>
      <c r="N943" s="19" t="str">
        <f t="shared" si="75"/>
        <v/>
      </c>
    </row>
    <row r="944" spans="2:14" x14ac:dyDescent="0.2">
      <c r="B944" s="15"/>
      <c r="C944" s="6"/>
      <c r="D944" s="12"/>
      <c r="E944" s="10" t="str">
        <f t="shared" si="71"/>
        <v/>
      </c>
      <c r="F944" s="16"/>
      <c r="G944" s="13"/>
      <c r="H944" s="6"/>
      <c r="I944" s="6"/>
      <c r="J944" s="11" t="str">
        <f t="shared" si="72"/>
        <v/>
      </c>
      <c r="K944" s="17" t="str">
        <f t="shared" si="73"/>
        <v/>
      </c>
      <c r="L944" s="18" t="str">
        <f t="shared" si="74"/>
        <v/>
      </c>
      <c r="M944" s="18" t="str">
        <f>IF(J944&lt;&gt;-1,"",ROUND(F944*IFERROR(INDEX(Stocuri!$G$5:$G$204,MATCH(D944,Coduri,0)),0),2))</f>
        <v/>
      </c>
      <c r="N944" s="19" t="str">
        <f t="shared" si="75"/>
        <v/>
      </c>
    </row>
    <row r="945" spans="2:14" x14ac:dyDescent="0.2">
      <c r="B945" s="15"/>
      <c r="C945" s="6"/>
      <c r="D945" s="12"/>
      <c r="E945" s="10" t="str">
        <f t="shared" si="71"/>
        <v/>
      </c>
      <c r="F945" s="16"/>
      <c r="G945" s="13"/>
      <c r="H945" s="6"/>
      <c r="I945" s="6"/>
      <c r="J945" s="11" t="str">
        <f t="shared" si="72"/>
        <v/>
      </c>
      <c r="K945" s="17" t="str">
        <f t="shared" si="73"/>
        <v/>
      </c>
      <c r="L945" s="18" t="str">
        <f t="shared" si="74"/>
        <v/>
      </c>
      <c r="M945" s="18" t="str">
        <f>IF(J945&lt;&gt;-1,"",ROUND(F945*IFERROR(INDEX(Stocuri!$G$5:$G$204,MATCH(D945,Coduri,0)),0),2))</f>
        <v/>
      </c>
      <c r="N945" s="19" t="str">
        <f t="shared" si="75"/>
        <v/>
      </c>
    </row>
    <row r="946" spans="2:14" x14ac:dyDescent="0.2">
      <c r="B946" s="15"/>
      <c r="C946" s="6"/>
      <c r="D946" s="12"/>
      <c r="E946" s="10" t="str">
        <f t="shared" si="71"/>
        <v/>
      </c>
      <c r="F946" s="16"/>
      <c r="G946" s="13"/>
      <c r="H946" s="6"/>
      <c r="I946" s="6"/>
      <c r="J946" s="11" t="str">
        <f t="shared" si="72"/>
        <v/>
      </c>
      <c r="K946" s="17" t="str">
        <f t="shared" si="73"/>
        <v/>
      </c>
      <c r="L946" s="18" t="str">
        <f t="shared" si="74"/>
        <v/>
      </c>
      <c r="M946" s="18" t="str">
        <f>IF(J946&lt;&gt;-1,"",ROUND(F946*IFERROR(INDEX(Stocuri!$G$5:$G$204,MATCH(D946,Coduri,0)),0),2))</f>
        <v/>
      </c>
      <c r="N946" s="19" t="str">
        <f t="shared" si="75"/>
        <v/>
      </c>
    </row>
    <row r="947" spans="2:14" x14ac:dyDescent="0.2">
      <c r="B947" s="15"/>
      <c r="C947" s="6"/>
      <c r="D947" s="12"/>
      <c r="E947" s="10" t="str">
        <f t="shared" si="71"/>
        <v/>
      </c>
      <c r="F947" s="16"/>
      <c r="G947" s="13"/>
      <c r="H947" s="6"/>
      <c r="I947" s="6"/>
      <c r="J947" s="11" t="str">
        <f t="shared" si="72"/>
        <v/>
      </c>
      <c r="K947" s="17" t="str">
        <f t="shared" si="73"/>
        <v/>
      </c>
      <c r="L947" s="18" t="str">
        <f t="shared" si="74"/>
        <v/>
      </c>
      <c r="M947" s="18" t="str">
        <f>IF(J947&lt;&gt;-1,"",ROUND(F947*IFERROR(INDEX(Stocuri!$G$5:$G$204,MATCH(D947,Coduri,0)),0),2))</f>
        <v/>
      </c>
      <c r="N947" s="19" t="str">
        <f t="shared" si="75"/>
        <v/>
      </c>
    </row>
    <row r="948" spans="2:14" x14ac:dyDescent="0.2">
      <c r="B948" s="15"/>
      <c r="C948" s="6"/>
      <c r="D948" s="12"/>
      <c r="E948" s="10" t="str">
        <f t="shared" si="71"/>
        <v/>
      </c>
      <c r="F948" s="16"/>
      <c r="G948" s="13"/>
      <c r="H948" s="6"/>
      <c r="I948" s="6"/>
      <c r="J948" s="11" t="str">
        <f t="shared" si="72"/>
        <v/>
      </c>
      <c r="K948" s="17" t="str">
        <f t="shared" si="73"/>
        <v/>
      </c>
      <c r="L948" s="18" t="str">
        <f t="shared" si="74"/>
        <v/>
      </c>
      <c r="M948" s="18" t="str">
        <f>IF(J948&lt;&gt;-1,"",ROUND(F948*IFERROR(INDEX(Stocuri!$G$5:$G$204,MATCH(D948,Coduri,0)),0),2))</f>
        <v/>
      </c>
      <c r="N948" s="19" t="str">
        <f t="shared" si="75"/>
        <v/>
      </c>
    </row>
    <row r="949" spans="2:14" x14ac:dyDescent="0.2">
      <c r="B949" s="15"/>
      <c r="C949" s="6"/>
      <c r="D949" s="12"/>
      <c r="E949" s="10" t="str">
        <f t="shared" si="71"/>
        <v/>
      </c>
      <c r="F949" s="16"/>
      <c r="G949" s="13"/>
      <c r="H949" s="6"/>
      <c r="I949" s="6"/>
      <c r="J949" s="11" t="str">
        <f t="shared" si="72"/>
        <v/>
      </c>
      <c r="K949" s="17" t="str">
        <f t="shared" si="73"/>
        <v/>
      </c>
      <c r="L949" s="18" t="str">
        <f t="shared" si="74"/>
        <v/>
      </c>
      <c r="M949" s="18" t="str">
        <f>IF(J949&lt;&gt;-1,"",ROUND(F949*IFERROR(INDEX(Stocuri!$G$5:$G$204,MATCH(D949,Coduri,0)),0),2))</f>
        <v/>
      </c>
      <c r="N949" s="19" t="str">
        <f t="shared" si="75"/>
        <v/>
      </c>
    </row>
    <row r="950" spans="2:14" x14ac:dyDescent="0.2">
      <c r="B950" s="15"/>
      <c r="C950" s="6"/>
      <c r="D950" s="12"/>
      <c r="E950" s="10" t="str">
        <f t="shared" si="71"/>
        <v/>
      </c>
      <c r="F950" s="16"/>
      <c r="G950" s="13"/>
      <c r="H950" s="6"/>
      <c r="I950" s="6"/>
      <c r="J950" s="11" t="str">
        <f t="shared" si="72"/>
        <v/>
      </c>
      <c r="K950" s="17" t="str">
        <f t="shared" si="73"/>
        <v/>
      </c>
      <c r="L950" s="18" t="str">
        <f t="shared" si="74"/>
        <v/>
      </c>
      <c r="M950" s="18" t="str">
        <f>IF(J950&lt;&gt;-1,"",ROUND(F950*IFERROR(INDEX(Stocuri!$G$5:$G$204,MATCH(D950,Coduri,0)),0),2))</f>
        <v/>
      </c>
      <c r="N950" s="19" t="str">
        <f t="shared" si="75"/>
        <v/>
      </c>
    </row>
    <row r="951" spans="2:14" x14ac:dyDescent="0.2">
      <c r="B951" s="15"/>
      <c r="C951" s="6"/>
      <c r="D951" s="12"/>
      <c r="E951" s="10" t="str">
        <f t="shared" si="71"/>
        <v/>
      </c>
      <c r="F951" s="16"/>
      <c r="G951" s="13"/>
      <c r="H951" s="6"/>
      <c r="I951" s="6"/>
      <c r="J951" s="11" t="str">
        <f t="shared" si="72"/>
        <v/>
      </c>
      <c r="K951" s="17" t="str">
        <f t="shared" si="73"/>
        <v/>
      </c>
      <c r="L951" s="18" t="str">
        <f t="shared" si="74"/>
        <v/>
      </c>
      <c r="M951" s="18" t="str">
        <f>IF(J951&lt;&gt;-1,"",ROUND(F951*IFERROR(INDEX(Stocuri!$G$5:$G$204,MATCH(D951,Coduri,0)),0),2))</f>
        <v/>
      </c>
      <c r="N951" s="19" t="str">
        <f t="shared" si="75"/>
        <v/>
      </c>
    </row>
    <row r="952" spans="2:14" x14ac:dyDescent="0.2">
      <c r="B952" s="15"/>
      <c r="C952" s="6"/>
      <c r="D952" s="12"/>
      <c r="E952" s="10" t="str">
        <f t="shared" si="71"/>
        <v/>
      </c>
      <c r="F952" s="16"/>
      <c r="G952" s="13"/>
      <c r="H952" s="6"/>
      <c r="I952" s="6"/>
      <c r="J952" s="11" t="str">
        <f t="shared" si="72"/>
        <v/>
      </c>
      <c r="K952" s="17" t="str">
        <f t="shared" si="73"/>
        <v/>
      </c>
      <c r="L952" s="18" t="str">
        <f t="shared" si="74"/>
        <v/>
      </c>
      <c r="M952" s="18" t="str">
        <f>IF(J952&lt;&gt;-1,"",ROUND(F952*IFERROR(INDEX(Stocuri!$G$5:$G$204,MATCH(D952,Coduri,0)),0),2))</f>
        <v/>
      </c>
      <c r="N952" s="19" t="str">
        <f t="shared" si="75"/>
        <v/>
      </c>
    </row>
    <row r="953" spans="2:14" x14ac:dyDescent="0.2">
      <c r="B953" s="15"/>
      <c r="C953" s="6"/>
      <c r="D953" s="12"/>
      <c r="E953" s="10" t="str">
        <f t="shared" si="71"/>
        <v/>
      </c>
      <c r="F953" s="16"/>
      <c r="G953" s="13"/>
      <c r="H953" s="6"/>
      <c r="I953" s="6"/>
      <c r="J953" s="11" t="str">
        <f t="shared" si="72"/>
        <v/>
      </c>
      <c r="K953" s="17" t="str">
        <f t="shared" si="73"/>
        <v/>
      </c>
      <c r="L953" s="18" t="str">
        <f t="shared" si="74"/>
        <v/>
      </c>
      <c r="M953" s="18" t="str">
        <f>IF(J953&lt;&gt;-1,"",ROUND(F953*IFERROR(INDEX(Stocuri!$G$5:$G$204,MATCH(D953,Coduri,0)),0),2))</f>
        <v/>
      </c>
      <c r="N953" s="19" t="str">
        <f t="shared" si="75"/>
        <v/>
      </c>
    </row>
    <row r="954" spans="2:14" x14ac:dyDescent="0.2">
      <c r="B954" s="15"/>
      <c r="C954" s="6"/>
      <c r="D954" s="12"/>
      <c r="E954" s="10" t="str">
        <f t="shared" si="71"/>
        <v/>
      </c>
      <c r="F954" s="16"/>
      <c r="G954" s="13"/>
      <c r="H954" s="6"/>
      <c r="I954" s="6"/>
      <c r="J954" s="11" t="str">
        <f t="shared" si="72"/>
        <v/>
      </c>
      <c r="K954" s="17" t="str">
        <f t="shared" si="73"/>
        <v/>
      </c>
      <c r="L954" s="18" t="str">
        <f t="shared" si="74"/>
        <v/>
      </c>
      <c r="M954" s="18" t="str">
        <f>IF(J954&lt;&gt;-1,"",ROUND(F954*IFERROR(INDEX(Stocuri!$G$5:$G$204,MATCH(D954,Coduri,0)),0),2))</f>
        <v/>
      </c>
      <c r="N954" s="19" t="str">
        <f t="shared" si="75"/>
        <v/>
      </c>
    </row>
    <row r="955" spans="2:14" x14ac:dyDescent="0.2">
      <c r="B955" s="15"/>
      <c r="C955" s="6"/>
      <c r="D955" s="12"/>
      <c r="E955" s="10" t="str">
        <f t="shared" si="71"/>
        <v/>
      </c>
      <c r="F955" s="16"/>
      <c r="G955" s="13"/>
      <c r="H955" s="6"/>
      <c r="I955" s="6"/>
      <c r="J955" s="11" t="str">
        <f t="shared" si="72"/>
        <v/>
      </c>
      <c r="K955" s="17" t="str">
        <f t="shared" si="73"/>
        <v/>
      </c>
      <c r="L955" s="18" t="str">
        <f t="shared" si="74"/>
        <v/>
      </c>
      <c r="M955" s="18" t="str">
        <f>IF(J955&lt;&gt;-1,"",ROUND(F955*IFERROR(INDEX(Stocuri!$G$5:$G$204,MATCH(D955,Coduri,0)),0),2))</f>
        <v/>
      </c>
      <c r="N955" s="19" t="str">
        <f t="shared" si="75"/>
        <v/>
      </c>
    </row>
    <row r="956" spans="2:14" x14ac:dyDescent="0.2">
      <c r="B956" s="15"/>
      <c r="C956" s="6"/>
      <c r="D956" s="12"/>
      <c r="E956" s="10" t="str">
        <f t="shared" si="71"/>
        <v/>
      </c>
      <c r="F956" s="16"/>
      <c r="G956" s="13"/>
      <c r="H956" s="6"/>
      <c r="I956" s="6"/>
      <c r="J956" s="11" t="str">
        <f t="shared" si="72"/>
        <v/>
      </c>
      <c r="K956" s="17" t="str">
        <f t="shared" si="73"/>
        <v/>
      </c>
      <c r="L956" s="18" t="str">
        <f t="shared" si="74"/>
        <v/>
      </c>
      <c r="M956" s="18" t="str">
        <f>IF(J956&lt;&gt;-1,"",ROUND(F956*IFERROR(INDEX(Stocuri!$G$5:$G$204,MATCH(D956,Coduri,0)),0),2))</f>
        <v/>
      </c>
      <c r="N956" s="19" t="str">
        <f t="shared" si="75"/>
        <v/>
      </c>
    </row>
    <row r="957" spans="2:14" x14ac:dyDescent="0.2">
      <c r="B957" s="15"/>
      <c r="C957" s="6"/>
      <c r="D957" s="12"/>
      <c r="E957" s="10" t="str">
        <f t="shared" si="71"/>
        <v/>
      </c>
      <c r="F957" s="16"/>
      <c r="G957" s="13"/>
      <c r="H957" s="6"/>
      <c r="I957" s="6"/>
      <c r="J957" s="11" t="str">
        <f t="shared" si="72"/>
        <v/>
      </c>
      <c r="K957" s="17" t="str">
        <f t="shared" si="73"/>
        <v/>
      </c>
      <c r="L957" s="18" t="str">
        <f t="shared" si="74"/>
        <v/>
      </c>
      <c r="M957" s="18" t="str">
        <f>IF(J957&lt;&gt;-1,"",ROUND(F957*IFERROR(INDEX(Stocuri!$G$5:$G$204,MATCH(D957,Coduri,0)),0),2))</f>
        <v/>
      </c>
      <c r="N957" s="19" t="str">
        <f t="shared" si="75"/>
        <v/>
      </c>
    </row>
    <row r="958" spans="2:14" x14ac:dyDescent="0.2">
      <c r="B958" s="15"/>
      <c r="C958" s="6"/>
      <c r="D958" s="12"/>
      <c r="E958" s="10" t="str">
        <f t="shared" si="71"/>
        <v/>
      </c>
      <c r="F958" s="16"/>
      <c r="G958" s="13"/>
      <c r="H958" s="6"/>
      <c r="I958" s="6"/>
      <c r="J958" s="11" t="str">
        <f t="shared" si="72"/>
        <v/>
      </c>
      <c r="K958" s="17" t="str">
        <f t="shared" si="73"/>
        <v/>
      </c>
      <c r="L958" s="18" t="str">
        <f t="shared" si="74"/>
        <v/>
      </c>
      <c r="M958" s="18" t="str">
        <f>IF(J958&lt;&gt;-1,"",ROUND(F958*IFERROR(INDEX(Stocuri!$G$5:$G$204,MATCH(D958,Coduri,0)),0),2))</f>
        <v/>
      </c>
      <c r="N958" s="19" t="str">
        <f t="shared" si="75"/>
        <v/>
      </c>
    </row>
    <row r="959" spans="2:14" x14ac:dyDescent="0.2">
      <c r="B959" s="15"/>
      <c r="C959" s="6"/>
      <c r="D959" s="12"/>
      <c r="E959" s="10" t="str">
        <f t="shared" si="71"/>
        <v/>
      </c>
      <c r="F959" s="16"/>
      <c r="G959" s="13"/>
      <c r="H959" s="6"/>
      <c r="I959" s="6"/>
      <c r="J959" s="11" t="str">
        <f t="shared" si="72"/>
        <v/>
      </c>
      <c r="K959" s="17" t="str">
        <f t="shared" si="73"/>
        <v/>
      </c>
      <c r="L959" s="18" t="str">
        <f t="shared" si="74"/>
        <v/>
      </c>
      <c r="M959" s="18" t="str">
        <f>IF(J959&lt;&gt;-1,"",ROUND(F959*IFERROR(INDEX(Stocuri!$G$5:$G$204,MATCH(D959,Coduri,0)),0),2))</f>
        <v/>
      </c>
      <c r="N959" s="19" t="str">
        <f t="shared" si="75"/>
        <v/>
      </c>
    </row>
    <row r="960" spans="2:14" x14ac:dyDescent="0.2">
      <c r="B960" s="15"/>
      <c r="C960" s="6"/>
      <c r="D960" s="12"/>
      <c r="E960" s="10" t="str">
        <f t="shared" si="71"/>
        <v/>
      </c>
      <c r="F960" s="16"/>
      <c r="G960" s="13"/>
      <c r="H960" s="6"/>
      <c r="I960" s="6"/>
      <c r="J960" s="11" t="str">
        <f t="shared" si="72"/>
        <v/>
      </c>
      <c r="K960" s="17" t="str">
        <f t="shared" si="73"/>
        <v/>
      </c>
      <c r="L960" s="18" t="str">
        <f t="shared" si="74"/>
        <v/>
      </c>
      <c r="M960" s="18" t="str">
        <f>IF(J960&lt;&gt;-1,"",ROUND(F960*IFERROR(INDEX(Stocuri!$G$5:$G$204,MATCH(D960,Coduri,0)),0),2))</f>
        <v/>
      </c>
      <c r="N960" s="19" t="str">
        <f t="shared" si="75"/>
        <v/>
      </c>
    </row>
    <row r="961" spans="2:14" x14ac:dyDescent="0.2">
      <c r="B961" s="15"/>
      <c r="C961" s="6"/>
      <c r="D961" s="12"/>
      <c r="E961" s="10" t="str">
        <f t="shared" si="71"/>
        <v/>
      </c>
      <c r="F961" s="16"/>
      <c r="G961" s="13"/>
      <c r="H961" s="6"/>
      <c r="I961" s="6"/>
      <c r="J961" s="11" t="str">
        <f t="shared" si="72"/>
        <v/>
      </c>
      <c r="K961" s="17" t="str">
        <f t="shared" si="73"/>
        <v/>
      </c>
      <c r="L961" s="18" t="str">
        <f t="shared" si="74"/>
        <v/>
      </c>
      <c r="M961" s="18" t="str">
        <f>IF(J961&lt;&gt;-1,"",ROUND(F961*IFERROR(INDEX(Stocuri!$G$5:$G$204,MATCH(D961,Coduri,0)),0),2))</f>
        <v/>
      </c>
      <c r="N961" s="19" t="str">
        <f t="shared" si="75"/>
        <v/>
      </c>
    </row>
    <row r="962" spans="2:14" x14ac:dyDescent="0.2">
      <c r="B962" s="15"/>
      <c r="C962" s="6"/>
      <c r="D962" s="12"/>
      <c r="E962" s="10" t="str">
        <f t="shared" si="71"/>
        <v/>
      </c>
      <c r="F962" s="16"/>
      <c r="G962" s="13"/>
      <c r="H962" s="6"/>
      <c r="I962" s="6"/>
      <c r="J962" s="11" t="str">
        <f t="shared" si="72"/>
        <v/>
      </c>
      <c r="K962" s="17" t="str">
        <f t="shared" si="73"/>
        <v/>
      </c>
      <c r="L962" s="18" t="str">
        <f t="shared" si="74"/>
        <v/>
      </c>
      <c r="M962" s="18" t="str">
        <f>IF(J962&lt;&gt;-1,"",ROUND(F962*IFERROR(INDEX(Stocuri!$G$5:$G$204,MATCH(D962,Coduri,0)),0),2))</f>
        <v/>
      </c>
      <c r="N962" s="19" t="str">
        <f t="shared" si="75"/>
        <v/>
      </c>
    </row>
    <row r="963" spans="2:14" x14ac:dyDescent="0.2">
      <c r="B963" s="15"/>
      <c r="C963" s="6"/>
      <c r="D963" s="12"/>
      <c r="E963" s="10" t="str">
        <f t="shared" si="71"/>
        <v/>
      </c>
      <c r="F963" s="16"/>
      <c r="G963" s="13"/>
      <c r="H963" s="6"/>
      <c r="I963" s="6"/>
      <c r="J963" s="11" t="str">
        <f t="shared" si="72"/>
        <v/>
      </c>
      <c r="K963" s="17" t="str">
        <f t="shared" si="73"/>
        <v/>
      </c>
      <c r="L963" s="18" t="str">
        <f t="shared" si="74"/>
        <v/>
      </c>
      <c r="M963" s="18" t="str">
        <f>IF(J963&lt;&gt;-1,"",ROUND(F963*IFERROR(INDEX(Stocuri!$G$5:$G$204,MATCH(D963,Coduri,0)),0),2))</f>
        <v/>
      </c>
      <c r="N963" s="19" t="str">
        <f t="shared" si="75"/>
        <v/>
      </c>
    </row>
    <row r="964" spans="2:14" x14ac:dyDescent="0.2">
      <c r="B964" s="15"/>
      <c r="C964" s="6"/>
      <c r="D964" s="12"/>
      <c r="E964" s="10" t="str">
        <f t="shared" si="71"/>
        <v/>
      </c>
      <c r="F964" s="16"/>
      <c r="G964" s="13"/>
      <c r="H964" s="6"/>
      <c r="I964" s="6"/>
      <c r="J964" s="11" t="str">
        <f t="shared" si="72"/>
        <v/>
      </c>
      <c r="K964" s="17" t="str">
        <f t="shared" si="73"/>
        <v/>
      </c>
      <c r="L964" s="18" t="str">
        <f t="shared" si="74"/>
        <v/>
      </c>
      <c r="M964" s="18" t="str">
        <f>IF(J964&lt;&gt;-1,"",ROUND(F964*IFERROR(INDEX(Stocuri!$G$5:$G$204,MATCH(D964,Coduri,0)),0),2))</f>
        <v/>
      </c>
      <c r="N964" s="19" t="str">
        <f t="shared" si="75"/>
        <v/>
      </c>
    </row>
    <row r="965" spans="2:14" x14ac:dyDescent="0.2">
      <c r="B965" s="15"/>
      <c r="C965" s="6"/>
      <c r="D965" s="12"/>
      <c r="E965" s="10" t="str">
        <f t="shared" ref="E965:E1028" si="76">IF(D965="","",IFERROR(VLOOKUP(D965,Catalog,2,FALSE),""))</f>
        <v/>
      </c>
      <c r="F965" s="16"/>
      <c r="G965" s="13"/>
      <c r="H965" s="6"/>
      <c r="I965" s="6"/>
      <c r="J965" s="11" t="str">
        <f t="shared" ref="J965:J1028" si="77">IF(C965="","",IFERROR(VLOOKUP(C965,TipSemn,2,FALSE),""))</f>
        <v/>
      </c>
      <c r="K965" s="17" t="str">
        <f t="shared" ref="K965:K1028" si="78">IF(OR(J965="",F965=""),"",J965*F965)</f>
        <v/>
      </c>
      <c r="L965" s="18" t="str">
        <f t="shared" ref="L965:L1028" si="79">IF(OR(J965&lt;&gt;1,G965=""),"",ROUND(F965*G965,2))</f>
        <v/>
      </c>
      <c r="M965" s="18" t="str">
        <f>IF(J965&lt;&gt;-1,"",ROUND(F965*IFERROR(INDEX(Stocuri!$G$5:$G$204,MATCH(D965,Coduri,0)),0),2))</f>
        <v/>
      </c>
      <c r="N965" s="19" t="str">
        <f t="shared" ref="N965:N1028" si="80">IF(AND(B965="",D965=""),"",TRIM(IF(OR(B965="",C965="",D965="",F965=""),"Date incomplete. ","")&amp;IF(AND(D965&lt;&gt;"",E965=""),"Cod necunoscut. ","")&amp;IF(AND(J965=1,C965&lt;&gt;"Retur de la client",C965&lt;&gt;"Ajustare inventar +",G965=""),"Lipsește prețul de intrare. ","")&amp;IF(AND(J965=-1,D965&lt;&gt;"",SUMIFS($K$5:$K$2004,$D$5:$D$2004,D965,$B$5:$B$2004,"&lt;="&amp;B965)&lt;0),"Stoc insuficient la această dată. ","")&amp;IF(AND(C965&lt;&gt;"Stoc inițial",H965=""),"Lipsește documentul. ","")))</f>
        <v/>
      </c>
    </row>
    <row r="966" spans="2:14" x14ac:dyDescent="0.2">
      <c r="B966" s="15"/>
      <c r="C966" s="6"/>
      <c r="D966" s="12"/>
      <c r="E966" s="10" t="str">
        <f t="shared" si="76"/>
        <v/>
      </c>
      <c r="F966" s="16"/>
      <c r="G966" s="13"/>
      <c r="H966" s="6"/>
      <c r="I966" s="6"/>
      <c r="J966" s="11" t="str">
        <f t="shared" si="77"/>
        <v/>
      </c>
      <c r="K966" s="17" t="str">
        <f t="shared" si="78"/>
        <v/>
      </c>
      <c r="L966" s="18" t="str">
        <f t="shared" si="79"/>
        <v/>
      </c>
      <c r="M966" s="18" t="str">
        <f>IF(J966&lt;&gt;-1,"",ROUND(F966*IFERROR(INDEX(Stocuri!$G$5:$G$204,MATCH(D966,Coduri,0)),0),2))</f>
        <v/>
      </c>
      <c r="N966" s="19" t="str">
        <f t="shared" si="80"/>
        <v/>
      </c>
    </row>
    <row r="967" spans="2:14" x14ac:dyDescent="0.2">
      <c r="B967" s="15"/>
      <c r="C967" s="6"/>
      <c r="D967" s="12"/>
      <c r="E967" s="10" t="str">
        <f t="shared" si="76"/>
        <v/>
      </c>
      <c r="F967" s="16"/>
      <c r="G967" s="13"/>
      <c r="H967" s="6"/>
      <c r="I967" s="6"/>
      <c r="J967" s="11" t="str">
        <f t="shared" si="77"/>
        <v/>
      </c>
      <c r="K967" s="17" t="str">
        <f t="shared" si="78"/>
        <v/>
      </c>
      <c r="L967" s="18" t="str">
        <f t="shared" si="79"/>
        <v/>
      </c>
      <c r="M967" s="18" t="str">
        <f>IF(J967&lt;&gt;-1,"",ROUND(F967*IFERROR(INDEX(Stocuri!$G$5:$G$204,MATCH(D967,Coduri,0)),0),2))</f>
        <v/>
      </c>
      <c r="N967" s="19" t="str">
        <f t="shared" si="80"/>
        <v/>
      </c>
    </row>
    <row r="968" spans="2:14" x14ac:dyDescent="0.2">
      <c r="B968" s="15"/>
      <c r="C968" s="6"/>
      <c r="D968" s="12"/>
      <c r="E968" s="10" t="str">
        <f t="shared" si="76"/>
        <v/>
      </c>
      <c r="F968" s="16"/>
      <c r="G968" s="13"/>
      <c r="H968" s="6"/>
      <c r="I968" s="6"/>
      <c r="J968" s="11" t="str">
        <f t="shared" si="77"/>
        <v/>
      </c>
      <c r="K968" s="17" t="str">
        <f t="shared" si="78"/>
        <v/>
      </c>
      <c r="L968" s="18" t="str">
        <f t="shared" si="79"/>
        <v/>
      </c>
      <c r="M968" s="18" t="str">
        <f>IF(J968&lt;&gt;-1,"",ROUND(F968*IFERROR(INDEX(Stocuri!$G$5:$G$204,MATCH(D968,Coduri,0)),0),2))</f>
        <v/>
      </c>
      <c r="N968" s="19" t="str">
        <f t="shared" si="80"/>
        <v/>
      </c>
    </row>
    <row r="969" spans="2:14" x14ac:dyDescent="0.2">
      <c r="B969" s="15"/>
      <c r="C969" s="6"/>
      <c r="D969" s="12"/>
      <c r="E969" s="10" t="str">
        <f t="shared" si="76"/>
        <v/>
      </c>
      <c r="F969" s="16"/>
      <c r="G969" s="13"/>
      <c r="H969" s="6"/>
      <c r="I969" s="6"/>
      <c r="J969" s="11" t="str">
        <f t="shared" si="77"/>
        <v/>
      </c>
      <c r="K969" s="17" t="str">
        <f t="shared" si="78"/>
        <v/>
      </c>
      <c r="L969" s="18" t="str">
        <f t="shared" si="79"/>
        <v/>
      </c>
      <c r="M969" s="18" t="str">
        <f>IF(J969&lt;&gt;-1,"",ROUND(F969*IFERROR(INDEX(Stocuri!$G$5:$G$204,MATCH(D969,Coduri,0)),0),2))</f>
        <v/>
      </c>
      <c r="N969" s="19" t="str">
        <f t="shared" si="80"/>
        <v/>
      </c>
    </row>
    <row r="970" spans="2:14" x14ac:dyDescent="0.2">
      <c r="B970" s="15"/>
      <c r="C970" s="6"/>
      <c r="D970" s="12"/>
      <c r="E970" s="10" t="str">
        <f t="shared" si="76"/>
        <v/>
      </c>
      <c r="F970" s="16"/>
      <c r="G970" s="13"/>
      <c r="H970" s="6"/>
      <c r="I970" s="6"/>
      <c r="J970" s="11" t="str">
        <f t="shared" si="77"/>
        <v/>
      </c>
      <c r="K970" s="17" t="str">
        <f t="shared" si="78"/>
        <v/>
      </c>
      <c r="L970" s="18" t="str">
        <f t="shared" si="79"/>
        <v/>
      </c>
      <c r="M970" s="18" t="str">
        <f>IF(J970&lt;&gt;-1,"",ROUND(F970*IFERROR(INDEX(Stocuri!$G$5:$G$204,MATCH(D970,Coduri,0)),0),2))</f>
        <v/>
      </c>
      <c r="N970" s="19" t="str">
        <f t="shared" si="80"/>
        <v/>
      </c>
    </row>
    <row r="971" spans="2:14" x14ac:dyDescent="0.2">
      <c r="B971" s="15"/>
      <c r="C971" s="6"/>
      <c r="D971" s="12"/>
      <c r="E971" s="10" t="str">
        <f t="shared" si="76"/>
        <v/>
      </c>
      <c r="F971" s="16"/>
      <c r="G971" s="13"/>
      <c r="H971" s="6"/>
      <c r="I971" s="6"/>
      <c r="J971" s="11" t="str">
        <f t="shared" si="77"/>
        <v/>
      </c>
      <c r="K971" s="17" t="str">
        <f t="shared" si="78"/>
        <v/>
      </c>
      <c r="L971" s="18" t="str">
        <f t="shared" si="79"/>
        <v/>
      </c>
      <c r="M971" s="18" t="str">
        <f>IF(J971&lt;&gt;-1,"",ROUND(F971*IFERROR(INDEX(Stocuri!$G$5:$G$204,MATCH(D971,Coduri,0)),0),2))</f>
        <v/>
      </c>
      <c r="N971" s="19" t="str">
        <f t="shared" si="80"/>
        <v/>
      </c>
    </row>
    <row r="972" spans="2:14" x14ac:dyDescent="0.2">
      <c r="B972" s="15"/>
      <c r="C972" s="6"/>
      <c r="D972" s="12"/>
      <c r="E972" s="10" t="str">
        <f t="shared" si="76"/>
        <v/>
      </c>
      <c r="F972" s="16"/>
      <c r="G972" s="13"/>
      <c r="H972" s="6"/>
      <c r="I972" s="6"/>
      <c r="J972" s="11" t="str">
        <f t="shared" si="77"/>
        <v/>
      </c>
      <c r="K972" s="17" t="str">
        <f t="shared" si="78"/>
        <v/>
      </c>
      <c r="L972" s="18" t="str">
        <f t="shared" si="79"/>
        <v/>
      </c>
      <c r="M972" s="18" t="str">
        <f>IF(J972&lt;&gt;-1,"",ROUND(F972*IFERROR(INDEX(Stocuri!$G$5:$G$204,MATCH(D972,Coduri,0)),0),2))</f>
        <v/>
      </c>
      <c r="N972" s="19" t="str">
        <f t="shared" si="80"/>
        <v/>
      </c>
    </row>
    <row r="973" spans="2:14" x14ac:dyDescent="0.2">
      <c r="B973" s="15"/>
      <c r="C973" s="6"/>
      <c r="D973" s="12"/>
      <c r="E973" s="10" t="str">
        <f t="shared" si="76"/>
        <v/>
      </c>
      <c r="F973" s="16"/>
      <c r="G973" s="13"/>
      <c r="H973" s="6"/>
      <c r="I973" s="6"/>
      <c r="J973" s="11" t="str">
        <f t="shared" si="77"/>
        <v/>
      </c>
      <c r="K973" s="17" t="str">
        <f t="shared" si="78"/>
        <v/>
      </c>
      <c r="L973" s="18" t="str">
        <f t="shared" si="79"/>
        <v/>
      </c>
      <c r="M973" s="18" t="str">
        <f>IF(J973&lt;&gt;-1,"",ROUND(F973*IFERROR(INDEX(Stocuri!$G$5:$G$204,MATCH(D973,Coduri,0)),0),2))</f>
        <v/>
      </c>
      <c r="N973" s="19" t="str">
        <f t="shared" si="80"/>
        <v/>
      </c>
    </row>
    <row r="974" spans="2:14" x14ac:dyDescent="0.2">
      <c r="B974" s="15"/>
      <c r="C974" s="6"/>
      <c r="D974" s="12"/>
      <c r="E974" s="10" t="str">
        <f t="shared" si="76"/>
        <v/>
      </c>
      <c r="F974" s="16"/>
      <c r="G974" s="13"/>
      <c r="H974" s="6"/>
      <c r="I974" s="6"/>
      <c r="J974" s="11" t="str">
        <f t="shared" si="77"/>
        <v/>
      </c>
      <c r="K974" s="17" t="str">
        <f t="shared" si="78"/>
        <v/>
      </c>
      <c r="L974" s="18" t="str">
        <f t="shared" si="79"/>
        <v/>
      </c>
      <c r="M974" s="18" t="str">
        <f>IF(J974&lt;&gt;-1,"",ROUND(F974*IFERROR(INDEX(Stocuri!$G$5:$G$204,MATCH(D974,Coduri,0)),0),2))</f>
        <v/>
      </c>
      <c r="N974" s="19" t="str">
        <f t="shared" si="80"/>
        <v/>
      </c>
    </row>
    <row r="975" spans="2:14" x14ac:dyDescent="0.2">
      <c r="B975" s="15"/>
      <c r="C975" s="6"/>
      <c r="D975" s="12"/>
      <c r="E975" s="10" t="str">
        <f t="shared" si="76"/>
        <v/>
      </c>
      <c r="F975" s="16"/>
      <c r="G975" s="13"/>
      <c r="H975" s="6"/>
      <c r="I975" s="6"/>
      <c r="J975" s="11" t="str">
        <f t="shared" si="77"/>
        <v/>
      </c>
      <c r="K975" s="17" t="str">
        <f t="shared" si="78"/>
        <v/>
      </c>
      <c r="L975" s="18" t="str">
        <f t="shared" si="79"/>
        <v/>
      </c>
      <c r="M975" s="18" t="str">
        <f>IF(J975&lt;&gt;-1,"",ROUND(F975*IFERROR(INDEX(Stocuri!$G$5:$G$204,MATCH(D975,Coduri,0)),0),2))</f>
        <v/>
      </c>
      <c r="N975" s="19" t="str">
        <f t="shared" si="80"/>
        <v/>
      </c>
    </row>
    <row r="976" spans="2:14" x14ac:dyDescent="0.2">
      <c r="B976" s="15"/>
      <c r="C976" s="6"/>
      <c r="D976" s="12"/>
      <c r="E976" s="10" t="str">
        <f t="shared" si="76"/>
        <v/>
      </c>
      <c r="F976" s="16"/>
      <c r="G976" s="13"/>
      <c r="H976" s="6"/>
      <c r="I976" s="6"/>
      <c r="J976" s="11" t="str">
        <f t="shared" si="77"/>
        <v/>
      </c>
      <c r="K976" s="17" t="str">
        <f t="shared" si="78"/>
        <v/>
      </c>
      <c r="L976" s="18" t="str">
        <f t="shared" si="79"/>
        <v/>
      </c>
      <c r="M976" s="18" t="str">
        <f>IF(J976&lt;&gt;-1,"",ROUND(F976*IFERROR(INDEX(Stocuri!$G$5:$G$204,MATCH(D976,Coduri,0)),0),2))</f>
        <v/>
      </c>
      <c r="N976" s="19" t="str">
        <f t="shared" si="80"/>
        <v/>
      </c>
    </row>
    <row r="977" spans="2:14" x14ac:dyDescent="0.2">
      <c r="B977" s="15"/>
      <c r="C977" s="6"/>
      <c r="D977" s="12"/>
      <c r="E977" s="10" t="str">
        <f t="shared" si="76"/>
        <v/>
      </c>
      <c r="F977" s="16"/>
      <c r="G977" s="13"/>
      <c r="H977" s="6"/>
      <c r="I977" s="6"/>
      <c r="J977" s="11" t="str">
        <f t="shared" si="77"/>
        <v/>
      </c>
      <c r="K977" s="17" t="str">
        <f t="shared" si="78"/>
        <v/>
      </c>
      <c r="L977" s="18" t="str">
        <f t="shared" si="79"/>
        <v/>
      </c>
      <c r="M977" s="18" t="str">
        <f>IF(J977&lt;&gt;-1,"",ROUND(F977*IFERROR(INDEX(Stocuri!$G$5:$G$204,MATCH(D977,Coduri,0)),0),2))</f>
        <v/>
      </c>
      <c r="N977" s="19" t="str">
        <f t="shared" si="80"/>
        <v/>
      </c>
    </row>
    <row r="978" spans="2:14" x14ac:dyDescent="0.2">
      <c r="B978" s="15"/>
      <c r="C978" s="6"/>
      <c r="D978" s="12"/>
      <c r="E978" s="10" t="str">
        <f t="shared" si="76"/>
        <v/>
      </c>
      <c r="F978" s="16"/>
      <c r="G978" s="13"/>
      <c r="H978" s="6"/>
      <c r="I978" s="6"/>
      <c r="J978" s="11" t="str">
        <f t="shared" si="77"/>
        <v/>
      </c>
      <c r="K978" s="17" t="str">
        <f t="shared" si="78"/>
        <v/>
      </c>
      <c r="L978" s="18" t="str">
        <f t="shared" si="79"/>
        <v/>
      </c>
      <c r="M978" s="18" t="str">
        <f>IF(J978&lt;&gt;-1,"",ROUND(F978*IFERROR(INDEX(Stocuri!$G$5:$G$204,MATCH(D978,Coduri,0)),0),2))</f>
        <v/>
      </c>
      <c r="N978" s="19" t="str">
        <f t="shared" si="80"/>
        <v/>
      </c>
    </row>
    <row r="979" spans="2:14" x14ac:dyDescent="0.2">
      <c r="B979" s="15"/>
      <c r="C979" s="6"/>
      <c r="D979" s="12"/>
      <c r="E979" s="10" t="str">
        <f t="shared" si="76"/>
        <v/>
      </c>
      <c r="F979" s="16"/>
      <c r="G979" s="13"/>
      <c r="H979" s="6"/>
      <c r="I979" s="6"/>
      <c r="J979" s="11" t="str">
        <f t="shared" si="77"/>
        <v/>
      </c>
      <c r="K979" s="17" t="str">
        <f t="shared" si="78"/>
        <v/>
      </c>
      <c r="L979" s="18" t="str">
        <f t="shared" si="79"/>
        <v/>
      </c>
      <c r="M979" s="18" t="str">
        <f>IF(J979&lt;&gt;-1,"",ROUND(F979*IFERROR(INDEX(Stocuri!$G$5:$G$204,MATCH(D979,Coduri,0)),0),2))</f>
        <v/>
      </c>
      <c r="N979" s="19" t="str">
        <f t="shared" si="80"/>
        <v/>
      </c>
    </row>
    <row r="980" spans="2:14" x14ac:dyDescent="0.2">
      <c r="B980" s="15"/>
      <c r="C980" s="6"/>
      <c r="D980" s="12"/>
      <c r="E980" s="10" t="str">
        <f t="shared" si="76"/>
        <v/>
      </c>
      <c r="F980" s="16"/>
      <c r="G980" s="13"/>
      <c r="H980" s="6"/>
      <c r="I980" s="6"/>
      <c r="J980" s="11" t="str">
        <f t="shared" si="77"/>
        <v/>
      </c>
      <c r="K980" s="17" t="str">
        <f t="shared" si="78"/>
        <v/>
      </c>
      <c r="L980" s="18" t="str">
        <f t="shared" si="79"/>
        <v/>
      </c>
      <c r="M980" s="18" t="str">
        <f>IF(J980&lt;&gt;-1,"",ROUND(F980*IFERROR(INDEX(Stocuri!$G$5:$G$204,MATCH(D980,Coduri,0)),0),2))</f>
        <v/>
      </c>
      <c r="N980" s="19" t="str">
        <f t="shared" si="80"/>
        <v/>
      </c>
    </row>
    <row r="981" spans="2:14" x14ac:dyDescent="0.2">
      <c r="B981" s="15"/>
      <c r="C981" s="6"/>
      <c r="D981" s="12"/>
      <c r="E981" s="10" t="str">
        <f t="shared" si="76"/>
        <v/>
      </c>
      <c r="F981" s="16"/>
      <c r="G981" s="13"/>
      <c r="H981" s="6"/>
      <c r="I981" s="6"/>
      <c r="J981" s="11" t="str">
        <f t="shared" si="77"/>
        <v/>
      </c>
      <c r="K981" s="17" t="str">
        <f t="shared" si="78"/>
        <v/>
      </c>
      <c r="L981" s="18" t="str">
        <f t="shared" si="79"/>
        <v/>
      </c>
      <c r="M981" s="18" t="str">
        <f>IF(J981&lt;&gt;-1,"",ROUND(F981*IFERROR(INDEX(Stocuri!$G$5:$G$204,MATCH(D981,Coduri,0)),0),2))</f>
        <v/>
      </c>
      <c r="N981" s="19" t="str">
        <f t="shared" si="80"/>
        <v/>
      </c>
    </row>
    <row r="982" spans="2:14" x14ac:dyDescent="0.2">
      <c r="B982" s="15"/>
      <c r="C982" s="6"/>
      <c r="D982" s="12"/>
      <c r="E982" s="10" t="str">
        <f t="shared" si="76"/>
        <v/>
      </c>
      <c r="F982" s="16"/>
      <c r="G982" s="13"/>
      <c r="H982" s="6"/>
      <c r="I982" s="6"/>
      <c r="J982" s="11" t="str">
        <f t="shared" si="77"/>
        <v/>
      </c>
      <c r="K982" s="17" t="str">
        <f t="shared" si="78"/>
        <v/>
      </c>
      <c r="L982" s="18" t="str">
        <f t="shared" si="79"/>
        <v/>
      </c>
      <c r="M982" s="18" t="str">
        <f>IF(J982&lt;&gt;-1,"",ROUND(F982*IFERROR(INDEX(Stocuri!$G$5:$G$204,MATCH(D982,Coduri,0)),0),2))</f>
        <v/>
      </c>
      <c r="N982" s="19" t="str">
        <f t="shared" si="80"/>
        <v/>
      </c>
    </row>
    <row r="983" spans="2:14" x14ac:dyDescent="0.2">
      <c r="B983" s="15"/>
      <c r="C983" s="6"/>
      <c r="D983" s="12"/>
      <c r="E983" s="10" t="str">
        <f t="shared" si="76"/>
        <v/>
      </c>
      <c r="F983" s="16"/>
      <c r="G983" s="13"/>
      <c r="H983" s="6"/>
      <c r="I983" s="6"/>
      <c r="J983" s="11" t="str">
        <f t="shared" si="77"/>
        <v/>
      </c>
      <c r="K983" s="17" t="str">
        <f t="shared" si="78"/>
        <v/>
      </c>
      <c r="L983" s="18" t="str">
        <f t="shared" si="79"/>
        <v/>
      </c>
      <c r="M983" s="18" t="str">
        <f>IF(J983&lt;&gt;-1,"",ROUND(F983*IFERROR(INDEX(Stocuri!$G$5:$G$204,MATCH(D983,Coduri,0)),0),2))</f>
        <v/>
      </c>
      <c r="N983" s="19" t="str">
        <f t="shared" si="80"/>
        <v/>
      </c>
    </row>
    <row r="984" spans="2:14" x14ac:dyDescent="0.2">
      <c r="B984" s="15"/>
      <c r="C984" s="6"/>
      <c r="D984" s="12"/>
      <c r="E984" s="10" t="str">
        <f t="shared" si="76"/>
        <v/>
      </c>
      <c r="F984" s="16"/>
      <c r="G984" s="13"/>
      <c r="H984" s="6"/>
      <c r="I984" s="6"/>
      <c r="J984" s="11" t="str">
        <f t="shared" si="77"/>
        <v/>
      </c>
      <c r="K984" s="17" t="str">
        <f t="shared" si="78"/>
        <v/>
      </c>
      <c r="L984" s="18" t="str">
        <f t="shared" si="79"/>
        <v/>
      </c>
      <c r="M984" s="18" t="str">
        <f>IF(J984&lt;&gt;-1,"",ROUND(F984*IFERROR(INDEX(Stocuri!$G$5:$G$204,MATCH(D984,Coduri,0)),0),2))</f>
        <v/>
      </c>
      <c r="N984" s="19" t="str">
        <f t="shared" si="80"/>
        <v/>
      </c>
    </row>
    <row r="985" spans="2:14" x14ac:dyDescent="0.2">
      <c r="B985" s="15"/>
      <c r="C985" s="6"/>
      <c r="D985" s="12"/>
      <c r="E985" s="10" t="str">
        <f t="shared" si="76"/>
        <v/>
      </c>
      <c r="F985" s="16"/>
      <c r="G985" s="13"/>
      <c r="H985" s="6"/>
      <c r="I985" s="6"/>
      <c r="J985" s="11" t="str">
        <f t="shared" si="77"/>
        <v/>
      </c>
      <c r="K985" s="17" t="str">
        <f t="shared" si="78"/>
        <v/>
      </c>
      <c r="L985" s="18" t="str">
        <f t="shared" si="79"/>
        <v/>
      </c>
      <c r="M985" s="18" t="str">
        <f>IF(J985&lt;&gt;-1,"",ROUND(F985*IFERROR(INDEX(Stocuri!$G$5:$G$204,MATCH(D985,Coduri,0)),0),2))</f>
        <v/>
      </c>
      <c r="N985" s="19" t="str">
        <f t="shared" si="80"/>
        <v/>
      </c>
    </row>
    <row r="986" spans="2:14" x14ac:dyDescent="0.2">
      <c r="B986" s="15"/>
      <c r="C986" s="6"/>
      <c r="D986" s="12"/>
      <c r="E986" s="10" t="str">
        <f t="shared" si="76"/>
        <v/>
      </c>
      <c r="F986" s="16"/>
      <c r="G986" s="13"/>
      <c r="H986" s="6"/>
      <c r="I986" s="6"/>
      <c r="J986" s="11" t="str">
        <f t="shared" si="77"/>
        <v/>
      </c>
      <c r="K986" s="17" t="str">
        <f t="shared" si="78"/>
        <v/>
      </c>
      <c r="L986" s="18" t="str">
        <f t="shared" si="79"/>
        <v/>
      </c>
      <c r="M986" s="18" t="str">
        <f>IF(J986&lt;&gt;-1,"",ROUND(F986*IFERROR(INDEX(Stocuri!$G$5:$G$204,MATCH(D986,Coduri,0)),0),2))</f>
        <v/>
      </c>
      <c r="N986" s="19" t="str">
        <f t="shared" si="80"/>
        <v/>
      </c>
    </row>
    <row r="987" spans="2:14" x14ac:dyDescent="0.2">
      <c r="B987" s="15"/>
      <c r="C987" s="6"/>
      <c r="D987" s="12"/>
      <c r="E987" s="10" t="str">
        <f t="shared" si="76"/>
        <v/>
      </c>
      <c r="F987" s="16"/>
      <c r="G987" s="13"/>
      <c r="H987" s="6"/>
      <c r="I987" s="6"/>
      <c r="J987" s="11" t="str">
        <f t="shared" si="77"/>
        <v/>
      </c>
      <c r="K987" s="17" t="str">
        <f t="shared" si="78"/>
        <v/>
      </c>
      <c r="L987" s="18" t="str">
        <f t="shared" si="79"/>
        <v/>
      </c>
      <c r="M987" s="18" t="str">
        <f>IF(J987&lt;&gt;-1,"",ROUND(F987*IFERROR(INDEX(Stocuri!$G$5:$G$204,MATCH(D987,Coduri,0)),0),2))</f>
        <v/>
      </c>
      <c r="N987" s="19" t="str">
        <f t="shared" si="80"/>
        <v/>
      </c>
    </row>
    <row r="988" spans="2:14" x14ac:dyDescent="0.2">
      <c r="B988" s="15"/>
      <c r="C988" s="6"/>
      <c r="D988" s="12"/>
      <c r="E988" s="10" t="str">
        <f t="shared" si="76"/>
        <v/>
      </c>
      <c r="F988" s="16"/>
      <c r="G988" s="13"/>
      <c r="H988" s="6"/>
      <c r="I988" s="6"/>
      <c r="J988" s="11" t="str">
        <f t="shared" si="77"/>
        <v/>
      </c>
      <c r="K988" s="17" t="str">
        <f t="shared" si="78"/>
        <v/>
      </c>
      <c r="L988" s="18" t="str">
        <f t="shared" si="79"/>
        <v/>
      </c>
      <c r="M988" s="18" t="str">
        <f>IF(J988&lt;&gt;-1,"",ROUND(F988*IFERROR(INDEX(Stocuri!$G$5:$G$204,MATCH(D988,Coduri,0)),0),2))</f>
        <v/>
      </c>
      <c r="N988" s="19" t="str">
        <f t="shared" si="80"/>
        <v/>
      </c>
    </row>
    <row r="989" spans="2:14" x14ac:dyDescent="0.2">
      <c r="B989" s="15"/>
      <c r="C989" s="6"/>
      <c r="D989" s="12"/>
      <c r="E989" s="10" t="str">
        <f t="shared" si="76"/>
        <v/>
      </c>
      <c r="F989" s="16"/>
      <c r="G989" s="13"/>
      <c r="H989" s="6"/>
      <c r="I989" s="6"/>
      <c r="J989" s="11" t="str">
        <f t="shared" si="77"/>
        <v/>
      </c>
      <c r="K989" s="17" t="str">
        <f t="shared" si="78"/>
        <v/>
      </c>
      <c r="L989" s="18" t="str">
        <f t="shared" si="79"/>
        <v/>
      </c>
      <c r="M989" s="18" t="str">
        <f>IF(J989&lt;&gt;-1,"",ROUND(F989*IFERROR(INDEX(Stocuri!$G$5:$G$204,MATCH(D989,Coduri,0)),0),2))</f>
        <v/>
      </c>
      <c r="N989" s="19" t="str">
        <f t="shared" si="80"/>
        <v/>
      </c>
    </row>
    <row r="990" spans="2:14" x14ac:dyDescent="0.2">
      <c r="B990" s="15"/>
      <c r="C990" s="6"/>
      <c r="D990" s="12"/>
      <c r="E990" s="10" t="str">
        <f t="shared" si="76"/>
        <v/>
      </c>
      <c r="F990" s="16"/>
      <c r="G990" s="13"/>
      <c r="H990" s="6"/>
      <c r="I990" s="6"/>
      <c r="J990" s="11" t="str">
        <f t="shared" si="77"/>
        <v/>
      </c>
      <c r="K990" s="17" t="str">
        <f t="shared" si="78"/>
        <v/>
      </c>
      <c r="L990" s="18" t="str">
        <f t="shared" si="79"/>
        <v/>
      </c>
      <c r="M990" s="18" t="str">
        <f>IF(J990&lt;&gt;-1,"",ROUND(F990*IFERROR(INDEX(Stocuri!$G$5:$G$204,MATCH(D990,Coduri,0)),0),2))</f>
        <v/>
      </c>
      <c r="N990" s="19" t="str">
        <f t="shared" si="80"/>
        <v/>
      </c>
    </row>
    <row r="991" spans="2:14" x14ac:dyDescent="0.2">
      <c r="B991" s="15"/>
      <c r="C991" s="6"/>
      <c r="D991" s="12"/>
      <c r="E991" s="10" t="str">
        <f t="shared" si="76"/>
        <v/>
      </c>
      <c r="F991" s="16"/>
      <c r="G991" s="13"/>
      <c r="H991" s="6"/>
      <c r="I991" s="6"/>
      <c r="J991" s="11" t="str">
        <f t="shared" si="77"/>
        <v/>
      </c>
      <c r="K991" s="17" t="str">
        <f t="shared" si="78"/>
        <v/>
      </c>
      <c r="L991" s="18" t="str">
        <f t="shared" si="79"/>
        <v/>
      </c>
      <c r="M991" s="18" t="str">
        <f>IF(J991&lt;&gt;-1,"",ROUND(F991*IFERROR(INDEX(Stocuri!$G$5:$G$204,MATCH(D991,Coduri,0)),0),2))</f>
        <v/>
      </c>
      <c r="N991" s="19" t="str">
        <f t="shared" si="80"/>
        <v/>
      </c>
    </row>
    <row r="992" spans="2:14" x14ac:dyDescent="0.2">
      <c r="B992" s="15"/>
      <c r="C992" s="6"/>
      <c r="D992" s="12"/>
      <c r="E992" s="10" t="str">
        <f t="shared" si="76"/>
        <v/>
      </c>
      <c r="F992" s="16"/>
      <c r="G992" s="13"/>
      <c r="H992" s="6"/>
      <c r="I992" s="6"/>
      <c r="J992" s="11" t="str">
        <f t="shared" si="77"/>
        <v/>
      </c>
      <c r="K992" s="17" t="str">
        <f t="shared" si="78"/>
        <v/>
      </c>
      <c r="L992" s="18" t="str">
        <f t="shared" si="79"/>
        <v/>
      </c>
      <c r="M992" s="18" t="str">
        <f>IF(J992&lt;&gt;-1,"",ROUND(F992*IFERROR(INDEX(Stocuri!$G$5:$G$204,MATCH(D992,Coduri,0)),0),2))</f>
        <v/>
      </c>
      <c r="N992" s="19" t="str">
        <f t="shared" si="80"/>
        <v/>
      </c>
    </row>
    <row r="993" spans="2:14" x14ac:dyDescent="0.2">
      <c r="B993" s="15"/>
      <c r="C993" s="6"/>
      <c r="D993" s="12"/>
      <c r="E993" s="10" t="str">
        <f t="shared" si="76"/>
        <v/>
      </c>
      <c r="F993" s="16"/>
      <c r="G993" s="13"/>
      <c r="H993" s="6"/>
      <c r="I993" s="6"/>
      <c r="J993" s="11" t="str">
        <f t="shared" si="77"/>
        <v/>
      </c>
      <c r="K993" s="17" t="str">
        <f t="shared" si="78"/>
        <v/>
      </c>
      <c r="L993" s="18" t="str">
        <f t="shared" si="79"/>
        <v/>
      </c>
      <c r="M993" s="18" t="str">
        <f>IF(J993&lt;&gt;-1,"",ROUND(F993*IFERROR(INDEX(Stocuri!$G$5:$G$204,MATCH(D993,Coduri,0)),0),2))</f>
        <v/>
      </c>
      <c r="N993" s="19" t="str">
        <f t="shared" si="80"/>
        <v/>
      </c>
    </row>
    <row r="994" spans="2:14" x14ac:dyDescent="0.2">
      <c r="B994" s="15"/>
      <c r="C994" s="6"/>
      <c r="D994" s="12"/>
      <c r="E994" s="10" t="str">
        <f t="shared" si="76"/>
        <v/>
      </c>
      <c r="F994" s="16"/>
      <c r="G994" s="13"/>
      <c r="H994" s="6"/>
      <c r="I994" s="6"/>
      <c r="J994" s="11" t="str">
        <f t="shared" si="77"/>
        <v/>
      </c>
      <c r="K994" s="17" t="str">
        <f t="shared" si="78"/>
        <v/>
      </c>
      <c r="L994" s="18" t="str">
        <f t="shared" si="79"/>
        <v/>
      </c>
      <c r="M994" s="18" t="str">
        <f>IF(J994&lt;&gt;-1,"",ROUND(F994*IFERROR(INDEX(Stocuri!$G$5:$G$204,MATCH(D994,Coduri,0)),0),2))</f>
        <v/>
      </c>
      <c r="N994" s="19" t="str">
        <f t="shared" si="80"/>
        <v/>
      </c>
    </row>
    <row r="995" spans="2:14" x14ac:dyDescent="0.2">
      <c r="B995" s="15"/>
      <c r="C995" s="6"/>
      <c r="D995" s="12"/>
      <c r="E995" s="10" t="str">
        <f t="shared" si="76"/>
        <v/>
      </c>
      <c r="F995" s="16"/>
      <c r="G995" s="13"/>
      <c r="H995" s="6"/>
      <c r="I995" s="6"/>
      <c r="J995" s="11" t="str">
        <f t="shared" si="77"/>
        <v/>
      </c>
      <c r="K995" s="17" t="str">
        <f t="shared" si="78"/>
        <v/>
      </c>
      <c r="L995" s="18" t="str">
        <f t="shared" si="79"/>
        <v/>
      </c>
      <c r="M995" s="18" t="str">
        <f>IF(J995&lt;&gt;-1,"",ROUND(F995*IFERROR(INDEX(Stocuri!$G$5:$G$204,MATCH(D995,Coduri,0)),0),2))</f>
        <v/>
      </c>
      <c r="N995" s="19" t="str">
        <f t="shared" si="80"/>
        <v/>
      </c>
    </row>
    <row r="996" spans="2:14" x14ac:dyDescent="0.2">
      <c r="B996" s="15"/>
      <c r="C996" s="6"/>
      <c r="D996" s="12"/>
      <c r="E996" s="10" t="str">
        <f t="shared" si="76"/>
        <v/>
      </c>
      <c r="F996" s="16"/>
      <c r="G996" s="13"/>
      <c r="H996" s="6"/>
      <c r="I996" s="6"/>
      <c r="J996" s="11" t="str">
        <f t="shared" si="77"/>
        <v/>
      </c>
      <c r="K996" s="17" t="str">
        <f t="shared" si="78"/>
        <v/>
      </c>
      <c r="L996" s="18" t="str">
        <f t="shared" si="79"/>
        <v/>
      </c>
      <c r="M996" s="18" t="str">
        <f>IF(J996&lt;&gt;-1,"",ROUND(F996*IFERROR(INDEX(Stocuri!$G$5:$G$204,MATCH(D996,Coduri,0)),0),2))</f>
        <v/>
      </c>
      <c r="N996" s="19" t="str">
        <f t="shared" si="80"/>
        <v/>
      </c>
    </row>
    <row r="997" spans="2:14" x14ac:dyDescent="0.2">
      <c r="B997" s="15"/>
      <c r="C997" s="6"/>
      <c r="D997" s="12"/>
      <c r="E997" s="10" t="str">
        <f t="shared" si="76"/>
        <v/>
      </c>
      <c r="F997" s="16"/>
      <c r="G997" s="13"/>
      <c r="H997" s="6"/>
      <c r="I997" s="6"/>
      <c r="J997" s="11" t="str">
        <f t="shared" si="77"/>
        <v/>
      </c>
      <c r="K997" s="17" t="str">
        <f t="shared" si="78"/>
        <v/>
      </c>
      <c r="L997" s="18" t="str">
        <f t="shared" si="79"/>
        <v/>
      </c>
      <c r="M997" s="18" t="str">
        <f>IF(J997&lt;&gt;-1,"",ROUND(F997*IFERROR(INDEX(Stocuri!$G$5:$G$204,MATCH(D997,Coduri,0)),0),2))</f>
        <v/>
      </c>
      <c r="N997" s="19" t="str">
        <f t="shared" si="80"/>
        <v/>
      </c>
    </row>
    <row r="998" spans="2:14" x14ac:dyDescent="0.2">
      <c r="B998" s="15"/>
      <c r="C998" s="6"/>
      <c r="D998" s="12"/>
      <c r="E998" s="10" t="str">
        <f t="shared" si="76"/>
        <v/>
      </c>
      <c r="F998" s="16"/>
      <c r="G998" s="13"/>
      <c r="H998" s="6"/>
      <c r="I998" s="6"/>
      <c r="J998" s="11" t="str">
        <f t="shared" si="77"/>
        <v/>
      </c>
      <c r="K998" s="17" t="str">
        <f t="shared" si="78"/>
        <v/>
      </c>
      <c r="L998" s="18" t="str">
        <f t="shared" si="79"/>
        <v/>
      </c>
      <c r="M998" s="18" t="str">
        <f>IF(J998&lt;&gt;-1,"",ROUND(F998*IFERROR(INDEX(Stocuri!$G$5:$G$204,MATCH(D998,Coduri,0)),0),2))</f>
        <v/>
      </c>
      <c r="N998" s="19" t="str">
        <f t="shared" si="80"/>
        <v/>
      </c>
    </row>
    <row r="999" spans="2:14" x14ac:dyDescent="0.2">
      <c r="B999" s="15"/>
      <c r="C999" s="6"/>
      <c r="D999" s="12"/>
      <c r="E999" s="10" t="str">
        <f t="shared" si="76"/>
        <v/>
      </c>
      <c r="F999" s="16"/>
      <c r="G999" s="13"/>
      <c r="H999" s="6"/>
      <c r="I999" s="6"/>
      <c r="J999" s="11" t="str">
        <f t="shared" si="77"/>
        <v/>
      </c>
      <c r="K999" s="17" t="str">
        <f t="shared" si="78"/>
        <v/>
      </c>
      <c r="L999" s="18" t="str">
        <f t="shared" si="79"/>
        <v/>
      </c>
      <c r="M999" s="18" t="str">
        <f>IF(J999&lt;&gt;-1,"",ROUND(F999*IFERROR(INDEX(Stocuri!$G$5:$G$204,MATCH(D999,Coduri,0)),0),2))</f>
        <v/>
      </c>
      <c r="N999" s="19" t="str">
        <f t="shared" si="80"/>
        <v/>
      </c>
    </row>
    <row r="1000" spans="2:14" x14ac:dyDescent="0.2">
      <c r="B1000" s="15"/>
      <c r="C1000" s="6"/>
      <c r="D1000" s="12"/>
      <c r="E1000" s="10" t="str">
        <f t="shared" si="76"/>
        <v/>
      </c>
      <c r="F1000" s="16"/>
      <c r="G1000" s="13"/>
      <c r="H1000" s="6"/>
      <c r="I1000" s="6"/>
      <c r="J1000" s="11" t="str">
        <f t="shared" si="77"/>
        <v/>
      </c>
      <c r="K1000" s="17" t="str">
        <f t="shared" si="78"/>
        <v/>
      </c>
      <c r="L1000" s="18" t="str">
        <f t="shared" si="79"/>
        <v/>
      </c>
      <c r="M1000" s="18" t="str">
        <f>IF(J1000&lt;&gt;-1,"",ROUND(F1000*IFERROR(INDEX(Stocuri!$G$5:$G$204,MATCH(D1000,Coduri,0)),0),2))</f>
        <v/>
      </c>
      <c r="N1000" s="19" t="str">
        <f t="shared" si="80"/>
        <v/>
      </c>
    </row>
    <row r="1001" spans="2:14" x14ac:dyDescent="0.2">
      <c r="B1001" s="15"/>
      <c r="C1001" s="6"/>
      <c r="D1001" s="12"/>
      <c r="E1001" s="10" t="str">
        <f t="shared" si="76"/>
        <v/>
      </c>
      <c r="F1001" s="16"/>
      <c r="G1001" s="13"/>
      <c r="H1001" s="6"/>
      <c r="I1001" s="6"/>
      <c r="J1001" s="11" t="str">
        <f t="shared" si="77"/>
        <v/>
      </c>
      <c r="K1001" s="17" t="str">
        <f t="shared" si="78"/>
        <v/>
      </c>
      <c r="L1001" s="18" t="str">
        <f t="shared" si="79"/>
        <v/>
      </c>
      <c r="M1001" s="18" t="str">
        <f>IF(J1001&lt;&gt;-1,"",ROUND(F1001*IFERROR(INDEX(Stocuri!$G$5:$G$204,MATCH(D1001,Coduri,0)),0),2))</f>
        <v/>
      </c>
      <c r="N1001" s="19" t="str">
        <f t="shared" si="80"/>
        <v/>
      </c>
    </row>
    <row r="1002" spans="2:14" x14ac:dyDescent="0.2">
      <c r="B1002" s="15"/>
      <c r="C1002" s="6"/>
      <c r="D1002" s="12"/>
      <c r="E1002" s="10" t="str">
        <f t="shared" si="76"/>
        <v/>
      </c>
      <c r="F1002" s="16"/>
      <c r="G1002" s="13"/>
      <c r="H1002" s="6"/>
      <c r="I1002" s="6"/>
      <c r="J1002" s="11" t="str">
        <f t="shared" si="77"/>
        <v/>
      </c>
      <c r="K1002" s="17" t="str">
        <f t="shared" si="78"/>
        <v/>
      </c>
      <c r="L1002" s="18" t="str">
        <f t="shared" si="79"/>
        <v/>
      </c>
      <c r="M1002" s="18" t="str">
        <f>IF(J1002&lt;&gt;-1,"",ROUND(F1002*IFERROR(INDEX(Stocuri!$G$5:$G$204,MATCH(D1002,Coduri,0)),0),2))</f>
        <v/>
      </c>
      <c r="N1002" s="19" t="str">
        <f t="shared" si="80"/>
        <v/>
      </c>
    </row>
    <row r="1003" spans="2:14" x14ac:dyDescent="0.2">
      <c r="B1003" s="15"/>
      <c r="C1003" s="6"/>
      <c r="D1003" s="12"/>
      <c r="E1003" s="10" t="str">
        <f t="shared" si="76"/>
        <v/>
      </c>
      <c r="F1003" s="16"/>
      <c r="G1003" s="13"/>
      <c r="H1003" s="6"/>
      <c r="I1003" s="6"/>
      <c r="J1003" s="11" t="str">
        <f t="shared" si="77"/>
        <v/>
      </c>
      <c r="K1003" s="17" t="str">
        <f t="shared" si="78"/>
        <v/>
      </c>
      <c r="L1003" s="18" t="str">
        <f t="shared" si="79"/>
        <v/>
      </c>
      <c r="M1003" s="18" t="str">
        <f>IF(J1003&lt;&gt;-1,"",ROUND(F1003*IFERROR(INDEX(Stocuri!$G$5:$G$204,MATCH(D1003,Coduri,0)),0),2))</f>
        <v/>
      </c>
      <c r="N1003" s="19" t="str">
        <f t="shared" si="80"/>
        <v/>
      </c>
    </row>
    <row r="1004" spans="2:14" x14ac:dyDescent="0.2">
      <c r="B1004" s="15"/>
      <c r="C1004" s="6"/>
      <c r="D1004" s="12"/>
      <c r="E1004" s="10" t="str">
        <f t="shared" si="76"/>
        <v/>
      </c>
      <c r="F1004" s="16"/>
      <c r="G1004" s="13"/>
      <c r="H1004" s="6"/>
      <c r="I1004" s="6"/>
      <c r="J1004" s="11" t="str">
        <f t="shared" si="77"/>
        <v/>
      </c>
      <c r="K1004" s="17" t="str">
        <f t="shared" si="78"/>
        <v/>
      </c>
      <c r="L1004" s="18" t="str">
        <f t="shared" si="79"/>
        <v/>
      </c>
      <c r="M1004" s="18" t="str">
        <f>IF(J1004&lt;&gt;-1,"",ROUND(F1004*IFERROR(INDEX(Stocuri!$G$5:$G$204,MATCH(D1004,Coduri,0)),0),2))</f>
        <v/>
      </c>
      <c r="N1004" s="19" t="str">
        <f t="shared" si="80"/>
        <v/>
      </c>
    </row>
    <row r="1005" spans="2:14" x14ac:dyDescent="0.2">
      <c r="B1005" s="15"/>
      <c r="C1005" s="6"/>
      <c r="D1005" s="12"/>
      <c r="E1005" s="10" t="str">
        <f t="shared" si="76"/>
        <v/>
      </c>
      <c r="F1005" s="16"/>
      <c r="G1005" s="13"/>
      <c r="H1005" s="6"/>
      <c r="I1005" s="6"/>
      <c r="J1005" s="11" t="str">
        <f t="shared" si="77"/>
        <v/>
      </c>
      <c r="K1005" s="17" t="str">
        <f t="shared" si="78"/>
        <v/>
      </c>
      <c r="L1005" s="18" t="str">
        <f t="shared" si="79"/>
        <v/>
      </c>
      <c r="M1005" s="18" t="str">
        <f>IF(J1005&lt;&gt;-1,"",ROUND(F1005*IFERROR(INDEX(Stocuri!$G$5:$G$204,MATCH(D1005,Coduri,0)),0),2))</f>
        <v/>
      </c>
      <c r="N1005" s="19" t="str">
        <f t="shared" si="80"/>
        <v/>
      </c>
    </row>
    <row r="1006" spans="2:14" x14ac:dyDescent="0.2">
      <c r="B1006" s="15"/>
      <c r="C1006" s="6"/>
      <c r="D1006" s="12"/>
      <c r="E1006" s="10" t="str">
        <f t="shared" si="76"/>
        <v/>
      </c>
      <c r="F1006" s="16"/>
      <c r="G1006" s="13"/>
      <c r="H1006" s="6"/>
      <c r="I1006" s="6"/>
      <c r="J1006" s="11" t="str">
        <f t="shared" si="77"/>
        <v/>
      </c>
      <c r="K1006" s="17" t="str">
        <f t="shared" si="78"/>
        <v/>
      </c>
      <c r="L1006" s="18" t="str">
        <f t="shared" si="79"/>
        <v/>
      </c>
      <c r="M1006" s="18" t="str">
        <f>IF(J1006&lt;&gt;-1,"",ROUND(F1006*IFERROR(INDEX(Stocuri!$G$5:$G$204,MATCH(D1006,Coduri,0)),0),2))</f>
        <v/>
      </c>
      <c r="N1006" s="19" t="str">
        <f t="shared" si="80"/>
        <v/>
      </c>
    </row>
    <row r="1007" spans="2:14" x14ac:dyDescent="0.2">
      <c r="B1007" s="15"/>
      <c r="C1007" s="6"/>
      <c r="D1007" s="12"/>
      <c r="E1007" s="10" t="str">
        <f t="shared" si="76"/>
        <v/>
      </c>
      <c r="F1007" s="16"/>
      <c r="G1007" s="13"/>
      <c r="H1007" s="6"/>
      <c r="I1007" s="6"/>
      <c r="J1007" s="11" t="str">
        <f t="shared" si="77"/>
        <v/>
      </c>
      <c r="K1007" s="17" t="str">
        <f t="shared" si="78"/>
        <v/>
      </c>
      <c r="L1007" s="18" t="str">
        <f t="shared" si="79"/>
        <v/>
      </c>
      <c r="M1007" s="18" t="str">
        <f>IF(J1007&lt;&gt;-1,"",ROUND(F1007*IFERROR(INDEX(Stocuri!$G$5:$G$204,MATCH(D1007,Coduri,0)),0),2))</f>
        <v/>
      </c>
      <c r="N1007" s="19" t="str">
        <f t="shared" si="80"/>
        <v/>
      </c>
    </row>
    <row r="1008" spans="2:14" x14ac:dyDescent="0.2">
      <c r="B1008" s="15"/>
      <c r="C1008" s="6"/>
      <c r="D1008" s="12"/>
      <c r="E1008" s="10" t="str">
        <f t="shared" si="76"/>
        <v/>
      </c>
      <c r="F1008" s="16"/>
      <c r="G1008" s="13"/>
      <c r="H1008" s="6"/>
      <c r="I1008" s="6"/>
      <c r="J1008" s="11" t="str">
        <f t="shared" si="77"/>
        <v/>
      </c>
      <c r="K1008" s="17" t="str">
        <f t="shared" si="78"/>
        <v/>
      </c>
      <c r="L1008" s="18" t="str">
        <f t="shared" si="79"/>
        <v/>
      </c>
      <c r="M1008" s="18" t="str">
        <f>IF(J1008&lt;&gt;-1,"",ROUND(F1008*IFERROR(INDEX(Stocuri!$G$5:$G$204,MATCH(D1008,Coduri,0)),0),2))</f>
        <v/>
      </c>
      <c r="N1008" s="19" t="str">
        <f t="shared" si="80"/>
        <v/>
      </c>
    </row>
    <row r="1009" spans="2:14" x14ac:dyDescent="0.2">
      <c r="B1009" s="15"/>
      <c r="C1009" s="6"/>
      <c r="D1009" s="12"/>
      <c r="E1009" s="10" t="str">
        <f t="shared" si="76"/>
        <v/>
      </c>
      <c r="F1009" s="16"/>
      <c r="G1009" s="13"/>
      <c r="H1009" s="6"/>
      <c r="I1009" s="6"/>
      <c r="J1009" s="11" t="str">
        <f t="shared" si="77"/>
        <v/>
      </c>
      <c r="K1009" s="17" t="str">
        <f t="shared" si="78"/>
        <v/>
      </c>
      <c r="L1009" s="18" t="str">
        <f t="shared" si="79"/>
        <v/>
      </c>
      <c r="M1009" s="18" t="str">
        <f>IF(J1009&lt;&gt;-1,"",ROUND(F1009*IFERROR(INDEX(Stocuri!$G$5:$G$204,MATCH(D1009,Coduri,0)),0),2))</f>
        <v/>
      </c>
      <c r="N1009" s="19" t="str">
        <f t="shared" si="80"/>
        <v/>
      </c>
    </row>
    <row r="1010" spans="2:14" x14ac:dyDescent="0.2">
      <c r="B1010" s="15"/>
      <c r="C1010" s="6"/>
      <c r="D1010" s="12"/>
      <c r="E1010" s="10" t="str">
        <f t="shared" si="76"/>
        <v/>
      </c>
      <c r="F1010" s="16"/>
      <c r="G1010" s="13"/>
      <c r="H1010" s="6"/>
      <c r="I1010" s="6"/>
      <c r="J1010" s="11" t="str">
        <f t="shared" si="77"/>
        <v/>
      </c>
      <c r="K1010" s="17" t="str">
        <f t="shared" si="78"/>
        <v/>
      </c>
      <c r="L1010" s="18" t="str">
        <f t="shared" si="79"/>
        <v/>
      </c>
      <c r="M1010" s="18" t="str">
        <f>IF(J1010&lt;&gt;-1,"",ROUND(F1010*IFERROR(INDEX(Stocuri!$G$5:$G$204,MATCH(D1010,Coduri,0)),0),2))</f>
        <v/>
      </c>
      <c r="N1010" s="19" t="str">
        <f t="shared" si="80"/>
        <v/>
      </c>
    </row>
    <row r="1011" spans="2:14" x14ac:dyDescent="0.2">
      <c r="B1011" s="15"/>
      <c r="C1011" s="6"/>
      <c r="D1011" s="12"/>
      <c r="E1011" s="10" t="str">
        <f t="shared" si="76"/>
        <v/>
      </c>
      <c r="F1011" s="16"/>
      <c r="G1011" s="13"/>
      <c r="H1011" s="6"/>
      <c r="I1011" s="6"/>
      <c r="J1011" s="11" t="str">
        <f t="shared" si="77"/>
        <v/>
      </c>
      <c r="K1011" s="17" t="str">
        <f t="shared" si="78"/>
        <v/>
      </c>
      <c r="L1011" s="18" t="str">
        <f t="shared" si="79"/>
        <v/>
      </c>
      <c r="M1011" s="18" t="str">
        <f>IF(J1011&lt;&gt;-1,"",ROUND(F1011*IFERROR(INDEX(Stocuri!$G$5:$G$204,MATCH(D1011,Coduri,0)),0),2))</f>
        <v/>
      </c>
      <c r="N1011" s="19" t="str">
        <f t="shared" si="80"/>
        <v/>
      </c>
    </row>
    <row r="1012" spans="2:14" x14ac:dyDescent="0.2">
      <c r="B1012" s="15"/>
      <c r="C1012" s="6"/>
      <c r="D1012" s="12"/>
      <c r="E1012" s="10" t="str">
        <f t="shared" si="76"/>
        <v/>
      </c>
      <c r="F1012" s="16"/>
      <c r="G1012" s="13"/>
      <c r="H1012" s="6"/>
      <c r="I1012" s="6"/>
      <c r="J1012" s="11" t="str">
        <f t="shared" si="77"/>
        <v/>
      </c>
      <c r="K1012" s="17" t="str">
        <f t="shared" si="78"/>
        <v/>
      </c>
      <c r="L1012" s="18" t="str">
        <f t="shared" si="79"/>
        <v/>
      </c>
      <c r="M1012" s="18" t="str">
        <f>IF(J1012&lt;&gt;-1,"",ROUND(F1012*IFERROR(INDEX(Stocuri!$G$5:$G$204,MATCH(D1012,Coduri,0)),0),2))</f>
        <v/>
      </c>
      <c r="N1012" s="19" t="str">
        <f t="shared" si="80"/>
        <v/>
      </c>
    </row>
    <row r="1013" spans="2:14" x14ac:dyDescent="0.2">
      <c r="B1013" s="15"/>
      <c r="C1013" s="6"/>
      <c r="D1013" s="12"/>
      <c r="E1013" s="10" t="str">
        <f t="shared" si="76"/>
        <v/>
      </c>
      <c r="F1013" s="16"/>
      <c r="G1013" s="13"/>
      <c r="H1013" s="6"/>
      <c r="I1013" s="6"/>
      <c r="J1013" s="11" t="str">
        <f t="shared" si="77"/>
        <v/>
      </c>
      <c r="K1013" s="17" t="str">
        <f t="shared" si="78"/>
        <v/>
      </c>
      <c r="L1013" s="18" t="str">
        <f t="shared" si="79"/>
        <v/>
      </c>
      <c r="M1013" s="18" t="str">
        <f>IF(J1013&lt;&gt;-1,"",ROUND(F1013*IFERROR(INDEX(Stocuri!$G$5:$G$204,MATCH(D1013,Coduri,0)),0),2))</f>
        <v/>
      </c>
      <c r="N1013" s="19" t="str">
        <f t="shared" si="80"/>
        <v/>
      </c>
    </row>
    <row r="1014" spans="2:14" x14ac:dyDescent="0.2">
      <c r="B1014" s="15"/>
      <c r="C1014" s="6"/>
      <c r="D1014" s="12"/>
      <c r="E1014" s="10" t="str">
        <f t="shared" si="76"/>
        <v/>
      </c>
      <c r="F1014" s="16"/>
      <c r="G1014" s="13"/>
      <c r="H1014" s="6"/>
      <c r="I1014" s="6"/>
      <c r="J1014" s="11" t="str">
        <f t="shared" si="77"/>
        <v/>
      </c>
      <c r="K1014" s="17" t="str">
        <f t="shared" si="78"/>
        <v/>
      </c>
      <c r="L1014" s="18" t="str">
        <f t="shared" si="79"/>
        <v/>
      </c>
      <c r="M1014" s="18" t="str">
        <f>IF(J1014&lt;&gt;-1,"",ROUND(F1014*IFERROR(INDEX(Stocuri!$G$5:$G$204,MATCH(D1014,Coduri,0)),0),2))</f>
        <v/>
      </c>
      <c r="N1014" s="19" t="str">
        <f t="shared" si="80"/>
        <v/>
      </c>
    </row>
    <row r="1015" spans="2:14" x14ac:dyDescent="0.2">
      <c r="B1015" s="15"/>
      <c r="C1015" s="6"/>
      <c r="D1015" s="12"/>
      <c r="E1015" s="10" t="str">
        <f t="shared" si="76"/>
        <v/>
      </c>
      <c r="F1015" s="16"/>
      <c r="G1015" s="13"/>
      <c r="H1015" s="6"/>
      <c r="I1015" s="6"/>
      <c r="J1015" s="11" t="str">
        <f t="shared" si="77"/>
        <v/>
      </c>
      <c r="K1015" s="17" t="str">
        <f t="shared" si="78"/>
        <v/>
      </c>
      <c r="L1015" s="18" t="str">
        <f t="shared" si="79"/>
        <v/>
      </c>
      <c r="M1015" s="18" t="str">
        <f>IF(J1015&lt;&gt;-1,"",ROUND(F1015*IFERROR(INDEX(Stocuri!$G$5:$G$204,MATCH(D1015,Coduri,0)),0),2))</f>
        <v/>
      </c>
      <c r="N1015" s="19" t="str">
        <f t="shared" si="80"/>
        <v/>
      </c>
    </row>
    <row r="1016" spans="2:14" x14ac:dyDescent="0.2">
      <c r="B1016" s="15"/>
      <c r="C1016" s="6"/>
      <c r="D1016" s="12"/>
      <c r="E1016" s="10" t="str">
        <f t="shared" si="76"/>
        <v/>
      </c>
      <c r="F1016" s="16"/>
      <c r="G1016" s="13"/>
      <c r="H1016" s="6"/>
      <c r="I1016" s="6"/>
      <c r="J1016" s="11" t="str">
        <f t="shared" si="77"/>
        <v/>
      </c>
      <c r="K1016" s="17" t="str">
        <f t="shared" si="78"/>
        <v/>
      </c>
      <c r="L1016" s="18" t="str">
        <f t="shared" si="79"/>
        <v/>
      </c>
      <c r="M1016" s="18" t="str">
        <f>IF(J1016&lt;&gt;-1,"",ROUND(F1016*IFERROR(INDEX(Stocuri!$G$5:$G$204,MATCH(D1016,Coduri,0)),0),2))</f>
        <v/>
      </c>
      <c r="N1016" s="19" t="str">
        <f t="shared" si="80"/>
        <v/>
      </c>
    </row>
    <row r="1017" spans="2:14" x14ac:dyDescent="0.2">
      <c r="B1017" s="15"/>
      <c r="C1017" s="6"/>
      <c r="D1017" s="12"/>
      <c r="E1017" s="10" t="str">
        <f t="shared" si="76"/>
        <v/>
      </c>
      <c r="F1017" s="16"/>
      <c r="G1017" s="13"/>
      <c r="H1017" s="6"/>
      <c r="I1017" s="6"/>
      <c r="J1017" s="11" t="str">
        <f t="shared" si="77"/>
        <v/>
      </c>
      <c r="K1017" s="17" t="str">
        <f t="shared" si="78"/>
        <v/>
      </c>
      <c r="L1017" s="18" t="str">
        <f t="shared" si="79"/>
        <v/>
      </c>
      <c r="M1017" s="18" t="str">
        <f>IF(J1017&lt;&gt;-1,"",ROUND(F1017*IFERROR(INDEX(Stocuri!$G$5:$G$204,MATCH(D1017,Coduri,0)),0),2))</f>
        <v/>
      </c>
      <c r="N1017" s="19" t="str">
        <f t="shared" si="80"/>
        <v/>
      </c>
    </row>
    <row r="1018" spans="2:14" x14ac:dyDescent="0.2">
      <c r="B1018" s="15"/>
      <c r="C1018" s="6"/>
      <c r="D1018" s="12"/>
      <c r="E1018" s="10" t="str">
        <f t="shared" si="76"/>
        <v/>
      </c>
      <c r="F1018" s="16"/>
      <c r="G1018" s="13"/>
      <c r="H1018" s="6"/>
      <c r="I1018" s="6"/>
      <c r="J1018" s="11" t="str">
        <f t="shared" si="77"/>
        <v/>
      </c>
      <c r="K1018" s="17" t="str">
        <f t="shared" si="78"/>
        <v/>
      </c>
      <c r="L1018" s="18" t="str">
        <f t="shared" si="79"/>
        <v/>
      </c>
      <c r="M1018" s="18" t="str">
        <f>IF(J1018&lt;&gt;-1,"",ROUND(F1018*IFERROR(INDEX(Stocuri!$G$5:$G$204,MATCH(D1018,Coduri,0)),0),2))</f>
        <v/>
      </c>
      <c r="N1018" s="19" t="str">
        <f t="shared" si="80"/>
        <v/>
      </c>
    </row>
    <row r="1019" spans="2:14" x14ac:dyDescent="0.2">
      <c r="B1019" s="15"/>
      <c r="C1019" s="6"/>
      <c r="D1019" s="12"/>
      <c r="E1019" s="10" t="str">
        <f t="shared" si="76"/>
        <v/>
      </c>
      <c r="F1019" s="16"/>
      <c r="G1019" s="13"/>
      <c r="H1019" s="6"/>
      <c r="I1019" s="6"/>
      <c r="J1019" s="11" t="str">
        <f t="shared" si="77"/>
        <v/>
      </c>
      <c r="K1019" s="17" t="str">
        <f t="shared" si="78"/>
        <v/>
      </c>
      <c r="L1019" s="18" t="str">
        <f t="shared" si="79"/>
        <v/>
      </c>
      <c r="M1019" s="18" t="str">
        <f>IF(J1019&lt;&gt;-1,"",ROUND(F1019*IFERROR(INDEX(Stocuri!$G$5:$G$204,MATCH(D1019,Coduri,0)),0),2))</f>
        <v/>
      </c>
      <c r="N1019" s="19" t="str">
        <f t="shared" si="80"/>
        <v/>
      </c>
    </row>
    <row r="1020" spans="2:14" x14ac:dyDescent="0.2">
      <c r="B1020" s="15"/>
      <c r="C1020" s="6"/>
      <c r="D1020" s="12"/>
      <c r="E1020" s="10" t="str">
        <f t="shared" si="76"/>
        <v/>
      </c>
      <c r="F1020" s="16"/>
      <c r="G1020" s="13"/>
      <c r="H1020" s="6"/>
      <c r="I1020" s="6"/>
      <c r="J1020" s="11" t="str">
        <f t="shared" si="77"/>
        <v/>
      </c>
      <c r="K1020" s="17" t="str">
        <f t="shared" si="78"/>
        <v/>
      </c>
      <c r="L1020" s="18" t="str">
        <f t="shared" si="79"/>
        <v/>
      </c>
      <c r="M1020" s="18" t="str">
        <f>IF(J1020&lt;&gt;-1,"",ROUND(F1020*IFERROR(INDEX(Stocuri!$G$5:$G$204,MATCH(D1020,Coduri,0)),0),2))</f>
        <v/>
      </c>
      <c r="N1020" s="19" t="str">
        <f t="shared" si="80"/>
        <v/>
      </c>
    </row>
    <row r="1021" spans="2:14" x14ac:dyDescent="0.2">
      <c r="B1021" s="15"/>
      <c r="C1021" s="6"/>
      <c r="D1021" s="12"/>
      <c r="E1021" s="10" t="str">
        <f t="shared" si="76"/>
        <v/>
      </c>
      <c r="F1021" s="16"/>
      <c r="G1021" s="13"/>
      <c r="H1021" s="6"/>
      <c r="I1021" s="6"/>
      <c r="J1021" s="11" t="str">
        <f t="shared" si="77"/>
        <v/>
      </c>
      <c r="K1021" s="17" t="str">
        <f t="shared" si="78"/>
        <v/>
      </c>
      <c r="L1021" s="18" t="str">
        <f t="shared" si="79"/>
        <v/>
      </c>
      <c r="M1021" s="18" t="str">
        <f>IF(J1021&lt;&gt;-1,"",ROUND(F1021*IFERROR(INDEX(Stocuri!$G$5:$G$204,MATCH(D1021,Coduri,0)),0),2))</f>
        <v/>
      </c>
      <c r="N1021" s="19" t="str">
        <f t="shared" si="80"/>
        <v/>
      </c>
    </row>
    <row r="1022" spans="2:14" x14ac:dyDescent="0.2">
      <c r="B1022" s="15"/>
      <c r="C1022" s="6"/>
      <c r="D1022" s="12"/>
      <c r="E1022" s="10" t="str">
        <f t="shared" si="76"/>
        <v/>
      </c>
      <c r="F1022" s="16"/>
      <c r="G1022" s="13"/>
      <c r="H1022" s="6"/>
      <c r="I1022" s="6"/>
      <c r="J1022" s="11" t="str">
        <f t="shared" si="77"/>
        <v/>
      </c>
      <c r="K1022" s="17" t="str">
        <f t="shared" si="78"/>
        <v/>
      </c>
      <c r="L1022" s="18" t="str">
        <f t="shared" si="79"/>
        <v/>
      </c>
      <c r="M1022" s="18" t="str">
        <f>IF(J1022&lt;&gt;-1,"",ROUND(F1022*IFERROR(INDEX(Stocuri!$G$5:$G$204,MATCH(D1022,Coduri,0)),0),2))</f>
        <v/>
      </c>
      <c r="N1022" s="19" t="str">
        <f t="shared" si="80"/>
        <v/>
      </c>
    </row>
    <row r="1023" spans="2:14" x14ac:dyDescent="0.2">
      <c r="B1023" s="15"/>
      <c r="C1023" s="6"/>
      <c r="D1023" s="12"/>
      <c r="E1023" s="10" t="str">
        <f t="shared" si="76"/>
        <v/>
      </c>
      <c r="F1023" s="16"/>
      <c r="G1023" s="13"/>
      <c r="H1023" s="6"/>
      <c r="I1023" s="6"/>
      <c r="J1023" s="11" t="str">
        <f t="shared" si="77"/>
        <v/>
      </c>
      <c r="K1023" s="17" t="str">
        <f t="shared" si="78"/>
        <v/>
      </c>
      <c r="L1023" s="18" t="str">
        <f t="shared" si="79"/>
        <v/>
      </c>
      <c r="M1023" s="18" t="str">
        <f>IF(J1023&lt;&gt;-1,"",ROUND(F1023*IFERROR(INDEX(Stocuri!$G$5:$G$204,MATCH(D1023,Coduri,0)),0),2))</f>
        <v/>
      </c>
      <c r="N1023" s="19" t="str">
        <f t="shared" si="80"/>
        <v/>
      </c>
    </row>
    <row r="1024" spans="2:14" x14ac:dyDescent="0.2">
      <c r="B1024" s="15"/>
      <c r="C1024" s="6"/>
      <c r="D1024" s="12"/>
      <c r="E1024" s="10" t="str">
        <f t="shared" si="76"/>
        <v/>
      </c>
      <c r="F1024" s="16"/>
      <c r="G1024" s="13"/>
      <c r="H1024" s="6"/>
      <c r="I1024" s="6"/>
      <c r="J1024" s="11" t="str">
        <f t="shared" si="77"/>
        <v/>
      </c>
      <c r="K1024" s="17" t="str">
        <f t="shared" si="78"/>
        <v/>
      </c>
      <c r="L1024" s="18" t="str">
        <f t="shared" si="79"/>
        <v/>
      </c>
      <c r="M1024" s="18" t="str">
        <f>IF(J1024&lt;&gt;-1,"",ROUND(F1024*IFERROR(INDEX(Stocuri!$G$5:$G$204,MATCH(D1024,Coduri,0)),0),2))</f>
        <v/>
      </c>
      <c r="N1024" s="19" t="str">
        <f t="shared" si="80"/>
        <v/>
      </c>
    </row>
    <row r="1025" spans="2:14" x14ac:dyDescent="0.2">
      <c r="B1025" s="15"/>
      <c r="C1025" s="6"/>
      <c r="D1025" s="12"/>
      <c r="E1025" s="10" t="str">
        <f t="shared" si="76"/>
        <v/>
      </c>
      <c r="F1025" s="16"/>
      <c r="G1025" s="13"/>
      <c r="H1025" s="6"/>
      <c r="I1025" s="6"/>
      <c r="J1025" s="11" t="str">
        <f t="shared" si="77"/>
        <v/>
      </c>
      <c r="K1025" s="17" t="str">
        <f t="shared" si="78"/>
        <v/>
      </c>
      <c r="L1025" s="18" t="str">
        <f t="shared" si="79"/>
        <v/>
      </c>
      <c r="M1025" s="18" t="str">
        <f>IF(J1025&lt;&gt;-1,"",ROUND(F1025*IFERROR(INDEX(Stocuri!$G$5:$G$204,MATCH(D1025,Coduri,0)),0),2))</f>
        <v/>
      </c>
      <c r="N1025" s="19" t="str">
        <f t="shared" si="80"/>
        <v/>
      </c>
    </row>
    <row r="1026" spans="2:14" x14ac:dyDescent="0.2">
      <c r="B1026" s="15"/>
      <c r="C1026" s="6"/>
      <c r="D1026" s="12"/>
      <c r="E1026" s="10" t="str">
        <f t="shared" si="76"/>
        <v/>
      </c>
      <c r="F1026" s="16"/>
      <c r="G1026" s="13"/>
      <c r="H1026" s="6"/>
      <c r="I1026" s="6"/>
      <c r="J1026" s="11" t="str">
        <f t="shared" si="77"/>
        <v/>
      </c>
      <c r="K1026" s="17" t="str">
        <f t="shared" si="78"/>
        <v/>
      </c>
      <c r="L1026" s="18" t="str">
        <f t="shared" si="79"/>
        <v/>
      </c>
      <c r="M1026" s="18" t="str">
        <f>IF(J1026&lt;&gt;-1,"",ROUND(F1026*IFERROR(INDEX(Stocuri!$G$5:$G$204,MATCH(D1026,Coduri,0)),0),2))</f>
        <v/>
      </c>
      <c r="N1026" s="19" t="str">
        <f t="shared" si="80"/>
        <v/>
      </c>
    </row>
    <row r="1027" spans="2:14" x14ac:dyDescent="0.2">
      <c r="B1027" s="15"/>
      <c r="C1027" s="6"/>
      <c r="D1027" s="12"/>
      <c r="E1027" s="10" t="str">
        <f t="shared" si="76"/>
        <v/>
      </c>
      <c r="F1027" s="16"/>
      <c r="G1027" s="13"/>
      <c r="H1027" s="6"/>
      <c r="I1027" s="6"/>
      <c r="J1027" s="11" t="str">
        <f t="shared" si="77"/>
        <v/>
      </c>
      <c r="K1027" s="17" t="str">
        <f t="shared" si="78"/>
        <v/>
      </c>
      <c r="L1027" s="18" t="str">
        <f t="shared" si="79"/>
        <v/>
      </c>
      <c r="M1027" s="18" t="str">
        <f>IF(J1027&lt;&gt;-1,"",ROUND(F1027*IFERROR(INDEX(Stocuri!$G$5:$G$204,MATCH(D1027,Coduri,0)),0),2))</f>
        <v/>
      </c>
      <c r="N1027" s="19" t="str">
        <f t="shared" si="80"/>
        <v/>
      </c>
    </row>
    <row r="1028" spans="2:14" x14ac:dyDescent="0.2">
      <c r="B1028" s="15"/>
      <c r="C1028" s="6"/>
      <c r="D1028" s="12"/>
      <c r="E1028" s="10" t="str">
        <f t="shared" si="76"/>
        <v/>
      </c>
      <c r="F1028" s="16"/>
      <c r="G1028" s="13"/>
      <c r="H1028" s="6"/>
      <c r="I1028" s="6"/>
      <c r="J1028" s="11" t="str">
        <f t="shared" si="77"/>
        <v/>
      </c>
      <c r="K1028" s="17" t="str">
        <f t="shared" si="78"/>
        <v/>
      </c>
      <c r="L1028" s="18" t="str">
        <f t="shared" si="79"/>
        <v/>
      </c>
      <c r="M1028" s="18" t="str">
        <f>IF(J1028&lt;&gt;-1,"",ROUND(F1028*IFERROR(INDEX(Stocuri!$G$5:$G$204,MATCH(D1028,Coduri,0)),0),2))</f>
        <v/>
      </c>
      <c r="N1028" s="19" t="str">
        <f t="shared" si="80"/>
        <v/>
      </c>
    </row>
    <row r="1029" spans="2:14" x14ac:dyDescent="0.2">
      <c r="B1029" s="15"/>
      <c r="C1029" s="6"/>
      <c r="D1029" s="12"/>
      <c r="E1029" s="10" t="str">
        <f t="shared" ref="E1029:E1092" si="81">IF(D1029="","",IFERROR(VLOOKUP(D1029,Catalog,2,FALSE),""))</f>
        <v/>
      </c>
      <c r="F1029" s="16"/>
      <c r="G1029" s="13"/>
      <c r="H1029" s="6"/>
      <c r="I1029" s="6"/>
      <c r="J1029" s="11" t="str">
        <f t="shared" ref="J1029:J1092" si="82">IF(C1029="","",IFERROR(VLOOKUP(C1029,TipSemn,2,FALSE),""))</f>
        <v/>
      </c>
      <c r="K1029" s="17" t="str">
        <f t="shared" ref="K1029:K1092" si="83">IF(OR(J1029="",F1029=""),"",J1029*F1029)</f>
        <v/>
      </c>
      <c r="L1029" s="18" t="str">
        <f t="shared" ref="L1029:L1092" si="84">IF(OR(J1029&lt;&gt;1,G1029=""),"",ROUND(F1029*G1029,2))</f>
        <v/>
      </c>
      <c r="M1029" s="18" t="str">
        <f>IF(J1029&lt;&gt;-1,"",ROUND(F1029*IFERROR(INDEX(Stocuri!$G$5:$G$204,MATCH(D1029,Coduri,0)),0),2))</f>
        <v/>
      </c>
      <c r="N1029" s="19" t="str">
        <f t="shared" ref="N1029:N1092" si="85">IF(AND(B1029="",D1029=""),"",TRIM(IF(OR(B1029="",C1029="",D1029="",F1029=""),"Date incomplete. ","")&amp;IF(AND(D1029&lt;&gt;"",E1029=""),"Cod necunoscut. ","")&amp;IF(AND(J1029=1,C1029&lt;&gt;"Retur de la client",C1029&lt;&gt;"Ajustare inventar +",G1029=""),"Lipsește prețul de intrare. ","")&amp;IF(AND(J1029=-1,D1029&lt;&gt;"",SUMIFS($K$5:$K$2004,$D$5:$D$2004,D1029,$B$5:$B$2004,"&lt;="&amp;B1029)&lt;0),"Stoc insuficient la această dată. ","")&amp;IF(AND(C1029&lt;&gt;"Stoc inițial",H1029=""),"Lipsește documentul. ","")))</f>
        <v/>
      </c>
    </row>
    <row r="1030" spans="2:14" x14ac:dyDescent="0.2">
      <c r="B1030" s="15"/>
      <c r="C1030" s="6"/>
      <c r="D1030" s="12"/>
      <c r="E1030" s="10" t="str">
        <f t="shared" si="81"/>
        <v/>
      </c>
      <c r="F1030" s="16"/>
      <c r="G1030" s="13"/>
      <c r="H1030" s="6"/>
      <c r="I1030" s="6"/>
      <c r="J1030" s="11" t="str">
        <f t="shared" si="82"/>
        <v/>
      </c>
      <c r="K1030" s="17" t="str">
        <f t="shared" si="83"/>
        <v/>
      </c>
      <c r="L1030" s="18" t="str">
        <f t="shared" si="84"/>
        <v/>
      </c>
      <c r="M1030" s="18" t="str">
        <f>IF(J1030&lt;&gt;-1,"",ROUND(F1030*IFERROR(INDEX(Stocuri!$G$5:$G$204,MATCH(D1030,Coduri,0)),0),2))</f>
        <v/>
      </c>
      <c r="N1030" s="19" t="str">
        <f t="shared" si="85"/>
        <v/>
      </c>
    </row>
    <row r="1031" spans="2:14" x14ac:dyDescent="0.2">
      <c r="B1031" s="15"/>
      <c r="C1031" s="6"/>
      <c r="D1031" s="12"/>
      <c r="E1031" s="10" t="str">
        <f t="shared" si="81"/>
        <v/>
      </c>
      <c r="F1031" s="16"/>
      <c r="G1031" s="13"/>
      <c r="H1031" s="6"/>
      <c r="I1031" s="6"/>
      <c r="J1031" s="11" t="str">
        <f t="shared" si="82"/>
        <v/>
      </c>
      <c r="K1031" s="17" t="str">
        <f t="shared" si="83"/>
        <v/>
      </c>
      <c r="L1031" s="18" t="str">
        <f t="shared" si="84"/>
        <v/>
      </c>
      <c r="M1031" s="18" t="str">
        <f>IF(J1031&lt;&gt;-1,"",ROUND(F1031*IFERROR(INDEX(Stocuri!$G$5:$G$204,MATCH(D1031,Coduri,0)),0),2))</f>
        <v/>
      </c>
      <c r="N1031" s="19" t="str">
        <f t="shared" si="85"/>
        <v/>
      </c>
    </row>
    <row r="1032" spans="2:14" x14ac:dyDescent="0.2">
      <c r="B1032" s="15"/>
      <c r="C1032" s="6"/>
      <c r="D1032" s="12"/>
      <c r="E1032" s="10" t="str">
        <f t="shared" si="81"/>
        <v/>
      </c>
      <c r="F1032" s="16"/>
      <c r="G1032" s="13"/>
      <c r="H1032" s="6"/>
      <c r="I1032" s="6"/>
      <c r="J1032" s="11" t="str">
        <f t="shared" si="82"/>
        <v/>
      </c>
      <c r="K1032" s="17" t="str">
        <f t="shared" si="83"/>
        <v/>
      </c>
      <c r="L1032" s="18" t="str">
        <f t="shared" si="84"/>
        <v/>
      </c>
      <c r="M1032" s="18" t="str">
        <f>IF(J1032&lt;&gt;-1,"",ROUND(F1032*IFERROR(INDEX(Stocuri!$G$5:$G$204,MATCH(D1032,Coduri,0)),0),2))</f>
        <v/>
      </c>
      <c r="N1032" s="19" t="str">
        <f t="shared" si="85"/>
        <v/>
      </c>
    </row>
    <row r="1033" spans="2:14" x14ac:dyDescent="0.2">
      <c r="B1033" s="15"/>
      <c r="C1033" s="6"/>
      <c r="D1033" s="12"/>
      <c r="E1033" s="10" t="str">
        <f t="shared" si="81"/>
        <v/>
      </c>
      <c r="F1033" s="16"/>
      <c r="G1033" s="13"/>
      <c r="H1033" s="6"/>
      <c r="I1033" s="6"/>
      <c r="J1033" s="11" t="str">
        <f t="shared" si="82"/>
        <v/>
      </c>
      <c r="K1033" s="17" t="str">
        <f t="shared" si="83"/>
        <v/>
      </c>
      <c r="L1033" s="18" t="str">
        <f t="shared" si="84"/>
        <v/>
      </c>
      <c r="M1033" s="18" t="str">
        <f>IF(J1033&lt;&gt;-1,"",ROUND(F1033*IFERROR(INDEX(Stocuri!$G$5:$G$204,MATCH(D1033,Coduri,0)),0),2))</f>
        <v/>
      </c>
      <c r="N1033" s="19" t="str">
        <f t="shared" si="85"/>
        <v/>
      </c>
    </row>
    <row r="1034" spans="2:14" x14ac:dyDescent="0.2">
      <c r="B1034" s="15"/>
      <c r="C1034" s="6"/>
      <c r="D1034" s="12"/>
      <c r="E1034" s="10" t="str">
        <f t="shared" si="81"/>
        <v/>
      </c>
      <c r="F1034" s="16"/>
      <c r="G1034" s="13"/>
      <c r="H1034" s="6"/>
      <c r="I1034" s="6"/>
      <c r="J1034" s="11" t="str">
        <f t="shared" si="82"/>
        <v/>
      </c>
      <c r="K1034" s="17" t="str">
        <f t="shared" si="83"/>
        <v/>
      </c>
      <c r="L1034" s="18" t="str">
        <f t="shared" si="84"/>
        <v/>
      </c>
      <c r="M1034" s="18" t="str">
        <f>IF(J1034&lt;&gt;-1,"",ROUND(F1034*IFERROR(INDEX(Stocuri!$G$5:$G$204,MATCH(D1034,Coduri,0)),0),2))</f>
        <v/>
      </c>
      <c r="N1034" s="19" t="str">
        <f t="shared" si="85"/>
        <v/>
      </c>
    </row>
    <row r="1035" spans="2:14" x14ac:dyDescent="0.2">
      <c r="B1035" s="15"/>
      <c r="C1035" s="6"/>
      <c r="D1035" s="12"/>
      <c r="E1035" s="10" t="str">
        <f t="shared" si="81"/>
        <v/>
      </c>
      <c r="F1035" s="16"/>
      <c r="G1035" s="13"/>
      <c r="H1035" s="6"/>
      <c r="I1035" s="6"/>
      <c r="J1035" s="11" t="str">
        <f t="shared" si="82"/>
        <v/>
      </c>
      <c r="K1035" s="17" t="str">
        <f t="shared" si="83"/>
        <v/>
      </c>
      <c r="L1035" s="18" t="str">
        <f t="shared" si="84"/>
        <v/>
      </c>
      <c r="M1035" s="18" t="str">
        <f>IF(J1035&lt;&gt;-1,"",ROUND(F1035*IFERROR(INDEX(Stocuri!$G$5:$G$204,MATCH(D1035,Coduri,0)),0),2))</f>
        <v/>
      </c>
      <c r="N1035" s="19" t="str">
        <f t="shared" si="85"/>
        <v/>
      </c>
    </row>
    <row r="1036" spans="2:14" x14ac:dyDescent="0.2">
      <c r="B1036" s="15"/>
      <c r="C1036" s="6"/>
      <c r="D1036" s="12"/>
      <c r="E1036" s="10" t="str">
        <f t="shared" si="81"/>
        <v/>
      </c>
      <c r="F1036" s="16"/>
      <c r="G1036" s="13"/>
      <c r="H1036" s="6"/>
      <c r="I1036" s="6"/>
      <c r="J1036" s="11" t="str">
        <f t="shared" si="82"/>
        <v/>
      </c>
      <c r="K1036" s="17" t="str">
        <f t="shared" si="83"/>
        <v/>
      </c>
      <c r="L1036" s="18" t="str">
        <f t="shared" si="84"/>
        <v/>
      </c>
      <c r="M1036" s="18" t="str">
        <f>IF(J1036&lt;&gt;-1,"",ROUND(F1036*IFERROR(INDEX(Stocuri!$G$5:$G$204,MATCH(D1036,Coduri,0)),0),2))</f>
        <v/>
      </c>
      <c r="N1036" s="19" t="str">
        <f t="shared" si="85"/>
        <v/>
      </c>
    </row>
    <row r="1037" spans="2:14" x14ac:dyDescent="0.2">
      <c r="B1037" s="15"/>
      <c r="C1037" s="6"/>
      <c r="D1037" s="12"/>
      <c r="E1037" s="10" t="str">
        <f t="shared" si="81"/>
        <v/>
      </c>
      <c r="F1037" s="16"/>
      <c r="G1037" s="13"/>
      <c r="H1037" s="6"/>
      <c r="I1037" s="6"/>
      <c r="J1037" s="11" t="str">
        <f t="shared" si="82"/>
        <v/>
      </c>
      <c r="K1037" s="17" t="str">
        <f t="shared" si="83"/>
        <v/>
      </c>
      <c r="L1037" s="18" t="str">
        <f t="shared" si="84"/>
        <v/>
      </c>
      <c r="M1037" s="18" t="str">
        <f>IF(J1037&lt;&gt;-1,"",ROUND(F1037*IFERROR(INDEX(Stocuri!$G$5:$G$204,MATCH(D1037,Coduri,0)),0),2))</f>
        <v/>
      </c>
      <c r="N1037" s="19" t="str">
        <f t="shared" si="85"/>
        <v/>
      </c>
    </row>
    <row r="1038" spans="2:14" x14ac:dyDescent="0.2">
      <c r="B1038" s="15"/>
      <c r="C1038" s="6"/>
      <c r="D1038" s="12"/>
      <c r="E1038" s="10" t="str">
        <f t="shared" si="81"/>
        <v/>
      </c>
      <c r="F1038" s="16"/>
      <c r="G1038" s="13"/>
      <c r="H1038" s="6"/>
      <c r="I1038" s="6"/>
      <c r="J1038" s="11" t="str">
        <f t="shared" si="82"/>
        <v/>
      </c>
      <c r="K1038" s="17" t="str">
        <f t="shared" si="83"/>
        <v/>
      </c>
      <c r="L1038" s="18" t="str">
        <f t="shared" si="84"/>
        <v/>
      </c>
      <c r="M1038" s="18" t="str">
        <f>IF(J1038&lt;&gt;-1,"",ROUND(F1038*IFERROR(INDEX(Stocuri!$G$5:$G$204,MATCH(D1038,Coduri,0)),0),2))</f>
        <v/>
      </c>
      <c r="N1038" s="19" t="str">
        <f t="shared" si="85"/>
        <v/>
      </c>
    </row>
    <row r="1039" spans="2:14" x14ac:dyDescent="0.2">
      <c r="B1039" s="15"/>
      <c r="C1039" s="6"/>
      <c r="D1039" s="12"/>
      <c r="E1039" s="10" t="str">
        <f t="shared" si="81"/>
        <v/>
      </c>
      <c r="F1039" s="16"/>
      <c r="G1039" s="13"/>
      <c r="H1039" s="6"/>
      <c r="I1039" s="6"/>
      <c r="J1039" s="11" t="str">
        <f t="shared" si="82"/>
        <v/>
      </c>
      <c r="K1039" s="17" t="str">
        <f t="shared" si="83"/>
        <v/>
      </c>
      <c r="L1039" s="18" t="str">
        <f t="shared" si="84"/>
        <v/>
      </c>
      <c r="M1039" s="18" t="str">
        <f>IF(J1039&lt;&gt;-1,"",ROUND(F1039*IFERROR(INDEX(Stocuri!$G$5:$G$204,MATCH(D1039,Coduri,0)),0),2))</f>
        <v/>
      </c>
      <c r="N1039" s="19" t="str">
        <f t="shared" si="85"/>
        <v/>
      </c>
    </row>
    <row r="1040" spans="2:14" x14ac:dyDescent="0.2">
      <c r="B1040" s="15"/>
      <c r="C1040" s="6"/>
      <c r="D1040" s="12"/>
      <c r="E1040" s="10" t="str">
        <f t="shared" si="81"/>
        <v/>
      </c>
      <c r="F1040" s="16"/>
      <c r="G1040" s="13"/>
      <c r="H1040" s="6"/>
      <c r="I1040" s="6"/>
      <c r="J1040" s="11" t="str">
        <f t="shared" si="82"/>
        <v/>
      </c>
      <c r="K1040" s="17" t="str">
        <f t="shared" si="83"/>
        <v/>
      </c>
      <c r="L1040" s="18" t="str">
        <f t="shared" si="84"/>
        <v/>
      </c>
      <c r="M1040" s="18" t="str">
        <f>IF(J1040&lt;&gt;-1,"",ROUND(F1040*IFERROR(INDEX(Stocuri!$G$5:$G$204,MATCH(D1040,Coduri,0)),0),2))</f>
        <v/>
      </c>
      <c r="N1040" s="19" t="str">
        <f t="shared" si="85"/>
        <v/>
      </c>
    </row>
    <row r="1041" spans="2:14" x14ac:dyDescent="0.2">
      <c r="B1041" s="15"/>
      <c r="C1041" s="6"/>
      <c r="D1041" s="12"/>
      <c r="E1041" s="10" t="str">
        <f t="shared" si="81"/>
        <v/>
      </c>
      <c r="F1041" s="16"/>
      <c r="G1041" s="13"/>
      <c r="H1041" s="6"/>
      <c r="I1041" s="6"/>
      <c r="J1041" s="11" t="str">
        <f t="shared" si="82"/>
        <v/>
      </c>
      <c r="K1041" s="17" t="str">
        <f t="shared" si="83"/>
        <v/>
      </c>
      <c r="L1041" s="18" t="str">
        <f t="shared" si="84"/>
        <v/>
      </c>
      <c r="M1041" s="18" t="str">
        <f>IF(J1041&lt;&gt;-1,"",ROUND(F1041*IFERROR(INDEX(Stocuri!$G$5:$G$204,MATCH(D1041,Coduri,0)),0),2))</f>
        <v/>
      </c>
      <c r="N1041" s="19" t="str">
        <f t="shared" si="85"/>
        <v/>
      </c>
    </row>
    <row r="1042" spans="2:14" x14ac:dyDescent="0.2">
      <c r="B1042" s="15"/>
      <c r="C1042" s="6"/>
      <c r="D1042" s="12"/>
      <c r="E1042" s="10" t="str">
        <f t="shared" si="81"/>
        <v/>
      </c>
      <c r="F1042" s="16"/>
      <c r="G1042" s="13"/>
      <c r="H1042" s="6"/>
      <c r="I1042" s="6"/>
      <c r="J1042" s="11" t="str">
        <f t="shared" si="82"/>
        <v/>
      </c>
      <c r="K1042" s="17" t="str">
        <f t="shared" si="83"/>
        <v/>
      </c>
      <c r="L1042" s="18" t="str">
        <f t="shared" si="84"/>
        <v/>
      </c>
      <c r="M1042" s="18" t="str">
        <f>IF(J1042&lt;&gt;-1,"",ROUND(F1042*IFERROR(INDEX(Stocuri!$G$5:$G$204,MATCH(D1042,Coduri,0)),0),2))</f>
        <v/>
      </c>
      <c r="N1042" s="19" t="str">
        <f t="shared" si="85"/>
        <v/>
      </c>
    </row>
    <row r="1043" spans="2:14" x14ac:dyDescent="0.2">
      <c r="B1043" s="15"/>
      <c r="C1043" s="6"/>
      <c r="D1043" s="12"/>
      <c r="E1043" s="10" t="str">
        <f t="shared" si="81"/>
        <v/>
      </c>
      <c r="F1043" s="16"/>
      <c r="G1043" s="13"/>
      <c r="H1043" s="6"/>
      <c r="I1043" s="6"/>
      <c r="J1043" s="11" t="str">
        <f t="shared" si="82"/>
        <v/>
      </c>
      <c r="K1043" s="17" t="str">
        <f t="shared" si="83"/>
        <v/>
      </c>
      <c r="L1043" s="18" t="str">
        <f t="shared" si="84"/>
        <v/>
      </c>
      <c r="M1043" s="18" t="str">
        <f>IF(J1043&lt;&gt;-1,"",ROUND(F1043*IFERROR(INDEX(Stocuri!$G$5:$G$204,MATCH(D1043,Coduri,0)),0),2))</f>
        <v/>
      </c>
      <c r="N1043" s="19" t="str">
        <f t="shared" si="85"/>
        <v/>
      </c>
    </row>
    <row r="1044" spans="2:14" x14ac:dyDescent="0.2">
      <c r="B1044" s="15"/>
      <c r="C1044" s="6"/>
      <c r="D1044" s="12"/>
      <c r="E1044" s="10" t="str">
        <f t="shared" si="81"/>
        <v/>
      </c>
      <c r="F1044" s="16"/>
      <c r="G1044" s="13"/>
      <c r="H1044" s="6"/>
      <c r="I1044" s="6"/>
      <c r="J1044" s="11" t="str">
        <f t="shared" si="82"/>
        <v/>
      </c>
      <c r="K1044" s="17" t="str">
        <f t="shared" si="83"/>
        <v/>
      </c>
      <c r="L1044" s="18" t="str">
        <f t="shared" si="84"/>
        <v/>
      </c>
      <c r="M1044" s="18" t="str">
        <f>IF(J1044&lt;&gt;-1,"",ROUND(F1044*IFERROR(INDEX(Stocuri!$G$5:$G$204,MATCH(D1044,Coduri,0)),0),2))</f>
        <v/>
      </c>
      <c r="N1044" s="19" t="str">
        <f t="shared" si="85"/>
        <v/>
      </c>
    </row>
    <row r="1045" spans="2:14" x14ac:dyDescent="0.2">
      <c r="B1045" s="15"/>
      <c r="C1045" s="6"/>
      <c r="D1045" s="12"/>
      <c r="E1045" s="10" t="str">
        <f t="shared" si="81"/>
        <v/>
      </c>
      <c r="F1045" s="16"/>
      <c r="G1045" s="13"/>
      <c r="H1045" s="6"/>
      <c r="I1045" s="6"/>
      <c r="J1045" s="11" t="str">
        <f t="shared" si="82"/>
        <v/>
      </c>
      <c r="K1045" s="17" t="str">
        <f t="shared" si="83"/>
        <v/>
      </c>
      <c r="L1045" s="18" t="str">
        <f t="shared" si="84"/>
        <v/>
      </c>
      <c r="M1045" s="18" t="str">
        <f>IF(J1045&lt;&gt;-1,"",ROUND(F1045*IFERROR(INDEX(Stocuri!$G$5:$G$204,MATCH(D1045,Coduri,0)),0),2))</f>
        <v/>
      </c>
      <c r="N1045" s="19" t="str">
        <f t="shared" si="85"/>
        <v/>
      </c>
    </row>
    <row r="1046" spans="2:14" x14ac:dyDescent="0.2">
      <c r="B1046" s="15"/>
      <c r="C1046" s="6"/>
      <c r="D1046" s="12"/>
      <c r="E1046" s="10" t="str">
        <f t="shared" si="81"/>
        <v/>
      </c>
      <c r="F1046" s="16"/>
      <c r="G1046" s="13"/>
      <c r="H1046" s="6"/>
      <c r="I1046" s="6"/>
      <c r="J1046" s="11" t="str">
        <f t="shared" si="82"/>
        <v/>
      </c>
      <c r="K1046" s="17" t="str">
        <f t="shared" si="83"/>
        <v/>
      </c>
      <c r="L1046" s="18" t="str">
        <f t="shared" si="84"/>
        <v/>
      </c>
      <c r="M1046" s="18" t="str">
        <f>IF(J1046&lt;&gt;-1,"",ROUND(F1046*IFERROR(INDEX(Stocuri!$G$5:$G$204,MATCH(D1046,Coduri,0)),0),2))</f>
        <v/>
      </c>
      <c r="N1046" s="19" t="str">
        <f t="shared" si="85"/>
        <v/>
      </c>
    </row>
    <row r="1047" spans="2:14" x14ac:dyDescent="0.2">
      <c r="B1047" s="15"/>
      <c r="C1047" s="6"/>
      <c r="D1047" s="12"/>
      <c r="E1047" s="10" t="str">
        <f t="shared" si="81"/>
        <v/>
      </c>
      <c r="F1047" s="16"/>
      <c r="G1047" s="13"/>
      <c r="H1047" s="6"/>
      <c r="I1047" s="6"/>
      <c r="J1047" s="11" t="str">
        <f t="shared" si="82"/>
        <v/>
      </c>
      <c r="K1047" s="17" t="str">
        <f t="shared" si="83"/>
        <v/>
      </c>
      <c r="L1047" s="18" t="str">
        <f t="shared" si="84"/>
        <v/>
      </c>
      <c r="M1047" s="18" t="str">
        <f>IF(J1047&lt;&gt;-1,"",ROUND(F1047*IFERROR(INDEX(Stocuri!$G$5:$G$204,MATCH(D1047,Coduri,0)),0),2))</f>
        <v/>
      </c>
      <c r="N1047" s="19" t="str">
        <f t="shared" si="85"/>
        <v/>
      </c>
    </row>
    <row r="1048" spans="2:14" x14ac:dyDescent="0.2">
      <c r="B1048" s="15"/>
      <c r="C1048" s="6"/>
      <c r="D1048" s="12"/>
      <c r="E1048" s="10" t="str">
        <f t="shared" si="81"/>
        <v/>
      </c>
      <c r="F1048" s="16"/>
      <c r="G1048" s="13"/>
      <c r="H1048" s="6"/>
      <c r="I1048" s="6"/>
      <c r="J1048" s="11" t="str">
        <f t="shared" si="82"/>
        <v/>
      </c>
      <c r="K1048" s="17" t="str">
        <f t="shared" si="83"/>
        <v/>
      </c>
      <c r="L1048" s="18" t="str">
        <f t="shared" si="84"/>
        <v/>
      </c>
      <c r="M1048" s="18" t="str">
        <f>IF(J1048&lt;&gt;-1,"",ROUND(F1048*IFERROR(INDEX(Stocuri!$G$5:$G$204,MATCH(D1048,Coduri,0)),0),2))</f>
        <v/>
      </c>
      <c r="N1048" s="19" t="str">
        <f t="shared" si="85"/>
        <v/>
      </c>
    </row>
    <row r="1049" spans="2:14" x14ac:dyDescent="0.2">
      <c r="B1049" s="15"/>
      <c r="C1049" s="6"/>
      <c r="D1049" s="12"/>
      <c r="E1049" s="10" t="str">
        <f t="shared" si="81"/>
        <v/>
      </c>
      <c r="F1049" s="16"/>
      <c r="G1049" s="13"/>
      <c r="H1049" s="6"/>
      <c r="I1049" s="6"/>
      <c r="J1049" s="11" t="str">
        <f t="shared" si="82"/>
        <v/>
      </c>
      <c r="K1049" s="17" t="str">
        <f t="shared" si="83"/>
        <v/>
      </c>
      <c r="L1049" s="18" t="str">
        <f t="shared" si="84"/>
        <v/>
      </c>
      <c r="M1049" s="18" t="str">
        <f>IF(J1049&lt;&gt;-1,"",ROUND(F1049*IFERROR(INDEX(Stocuri!$G$5:$G$204,MATCH(D1049,Coduri,0)),0),2))</f>
        <v/>
      </c>
      <c r="N1049" s="19" t="str">
        <f t="shared" si="85"/>
        <v/>
      </c>
    </row>
    <row r="1050" spans="2:14" x14ac:dyDescent="0.2">
      <c r="B1050" s="15"/>
      <c r="C1050" s="6"/>
      <c r="D1050" s="12"/>
      <c r="E1050" s="10" t="str">
        <f t="shared" si="81"/>
        <v/>
      </c>
      <c r="F1050" s="16"/>
      <c r="G1050" s="13"/>
      <c r="H1050" s="6"/>
      <c r="I1050" s="6"/>
      <c r="J1050" s="11" t="str">
        <f t="shared" si="82"/>
        <v/>
      </c>
      <c r="K1050" s="17" t="str">
        <f t="shared" si="83"/>
        <v/>
      </c>
      <c r="L1050" s="18" t="str">
        <f t="shared" si="84"/>
        <v/>
      </c>
      <c r="M1050" s="18" t="str">
        <f>IF(J1050&lt;&gt;-1,"",ROUND(F1050*IFERROR(INDEX(Stocuri!$G$5:$G$204,MATCH(D1050,Coduri,0)),0),2))</f>
        <v/>
      </c>
      <c r="N1050" s="19" t="str">
        <f t="shared" si="85"/>
        <v/>
      </c>
    </row>
    <row r="1051" spans="2:14" x14ac:dyDescent="0.2">
      <c r="B1051" s="15"/>
      <c r="C1051" s="6"/>
      <c r="D1051" s="12"/>
      <c r="E1051" s="10" t="str">
        <f t="shared" si="81"/>
        <v/>
      </c>
      <c r="F1051" s="16"/>
      <c r="G1051" s="13"/>
      <c r="H1051" s="6"/>
      <c r="I1051" s="6"/>
      <c r="J1051" s="11" t="str">
        <f t="shared" si="82"/>
        <v/>
      </c>
      <c r="K1051" s="17" t="str">
        <f t="shared" si="83"/>
        <v/>
      </c>
      <c r="L1051" s="18" t="str">
        <f t="shared" si="84"/>
        <v/>
      </c>
      <c r="M1051" s="18" t="str">
        <f>IF(J1051&lt;&gt;-1,"",ROUND(F1051*IFERROR(INDEX(Stocuri!$G$5:$G$204,MATCH(D1051,Coduri,0)),0),2))</f>
        <v/>
      </c>
      <c r="N1051" s="19" t="str">
        <f t="shared" si="85"/>
        <v/>
      </c>
    </row>
    <row r="1052" spans="2:14" x14ac:dyDescent="0.2">
      <c r="B1052" s="15"/>
      <c r="C1052" s="6"/>
      <c r="D1052" s="12"/>
      <c r="E1052" s="10" t="str">
        <f t="shared" si="81"/>
        <v/>
      </c>
      <c r="F1052" s="16"/>
      <c r="G1052" s="13"/>
      <c r="H1052" s="6"/>
      <c r="I1052" s="6"/>
      <c r="J1052" s="11" t="str">
        <f t="shared" si="82"/>
        <v/>
      </c>
      <c r="K1052" s="17" t="str">
        <f t="shared" si="83"/>
        <v/>
      </c>
      <c r="L1052" s="18" t="str">
        <f t="shared" si="84"/>
        <v/>
      </c>
      <c r="M1052" s="18" t="str">
        <f>IF(J1052&lt;&gt;-1,"",ROUND(F1052*IFERROR(INDEX(Stocuri!$G$5:$G$204,MATCH(D1052,Coduri,0)),0),2))</f>
        <v/>
      </c>
      <c r="N1052" s="19" t="str">
        <f t="shared" si="85"/>
        <v/>
      </c>
    </row>
    <row r="1053" spans="2:14" x14ac:dyDescent="0.2">
      <c r="B1053" s="15"/>
      <c r="C1053" s="6"/>
      <c r="D1053" s="12"/>
      <c r="E1053" s="10" t="str">
        <f t="shared" si="81"/>
        <v/>
      </c>
      <c r="F1053" s="16"/>
      <c r="G1053" s="13"/>
      <c r="H1053" s="6"/>
      <c r="I1053" s="6"/>
      <c r="J1053" s="11" t="str">
        <f t="shared" si="82"/>
        <v/>
      </c>
      <c r="K1053" s="17" t="str">
        <f t="shared" si="83"/>
        <v/>
      </c>
      <c r="L1053" s="18" t="str">
        <f t="shared" si="84"/>
        <v/>
      </c>
      <c r="M1053" s="18" t="str">
        <f>IF(J1053&lt;&gt;-1,"",ROUND(F1053*IFERROR(INDEX(Stocuri!$G$5:$G$204,MATCH(D1053,Coduri,0)),0),2))</f>
        <v/>
      </c>
      <c r="N1053" s="19" t="str">
        <f t="shared" si="85"/>
        <v/>
      </c>
    </row>
    <row r="1054" spans="2:14" x14ac:dyDescent="0.2">
      <c r="B1054" s="15"/>
      <c r="C1054" s="6"/>
      <c r="D1054" s="12"/>
      <c r="E1054" s="10" t="str">
        <f t="shared" si="81"/>
        <v/>
      </c>
      <c r="F1054" s="16"/>
      <c r="G1054" s="13"/>
      <c r="H1054" s="6"/>
      <c r="I1054" s="6"/>
      <c r="J1054" s="11" t="str">
        <f t="shared" si="82"/>
        <v/>
      </c>
      <c r="K1054" s="17" t="str">
        <f t="shared" si="83"/>
        <v/>
      </c>
      <c r="L1054" s="18" t="str">
        <f t="shared" si="84"/>
        <v/>
      </c>
      <c r="M1054" s="18" t="str">
        <f>IF(J1054&lt;&gt;-1,"",ROUND(F1054*IFERROR(INDEX(Stocuri!$G$5:$G$204,MATCH(D1054,Coduri,0)),0),2))</f>
        <v/>
      </c>
      <c r="N1054" s="19" t="str">
        <f t="shared" si="85"/>
        <v/>
      </c>
    </row>
    <row r="1055" spans="2:14" x14ac:dyDescent="0.2">
      <c r="B1055" s="15"/>
      <c r="C1055" s="6"/>
      <c r="D1055" s="12"/>
      <c r="E1055" s="10" t="str">
        <f t="shared" si="81"/>
        <v/>
      </c>
      <c r="F1055" s="16"/>
      <c r="G1055" s="13"/>
      <c r="H1055" s="6"/>
      <c r="I1055" s="6"/>
      <c r="J1055" s="11" t="str">
        <f t="shared" si="82"/>
        <v/>
      </c>
      <c r="K1055" s="17" t="str">
        <f t="shared" si="83"/>
        <v/>
      </c>
      <c r="L1055" s="18" t="str">
        <f t="shared" si="84"/>
        <v/>
      </c>
      <c r="M1055" s="18" t="str">
        <f>IF(J1055&lt;&gt;-1,"",ROUND(F1055*IFERROR(INDEX(Stocuri!$G$5:$G$204,MATCH(D1055,Coduri,0)),0),2))</f>
        <v/>
      </c>
      <c r="N1055" s="19" t="str">
        <f t="shared" si="85"/>
        <v/>
      </c>
    </row>
    <row r="1056" spans="2:14" x14ac:dyDescent="0.2">
      <c r="B1056" s="15"/>
      <c r="C1056" s="6"/>
      <c r="D1056" s="12"/>
      <c r="E1056" s="10" t="str">
        <f t="shared" si="81"/>
        <v/>
      </c>
      <c r="F1056" s="16"/>
      <c r="G1056" s="13"/>
      <c r="H1056" s="6"/>
      <c r="I1056" s="6"/>
      <c r="J1056" s="11" t="str">
        <f t="shared" si="82"/>
        <v/>
      </c>
      <c r="K1056" s="17" t="str">
        <f t="shared" si="83"/>
        <v/>
      </c>
      <c r="L1056" s="18" t="str">
        <f t="shared" si="84"/>
        <v/>
      </c>
      <c r="M1056" s="18" t="str">
        <f>IF(J1056&lt;&gt;-1,"",ROUND(F1056*IFERROR(INDEX(Stocuri!$G$5:$G$204,MATCH(D1056,Coduri,0)),0),2))</f>
        <v/>
      </c>
      <c r="N1056" s="19" t="str">
        <f t="shared" si="85"/>
        <v/>
      </c>
    </row>
    <row r="1057" spans="2:14" x14ac:dyDescent="0.2">
      <c r="B1057" s="15"/>
      <c r="C1057" s="6"/>
      <c r="D1057" s="12"/>
      <c r="E1057" s="10" t="str">
        <f t="shared" si="81"/>
        <v/>
      </c>
      <c r="F1057" s="16"/>
      <c r="G1057" s="13"/>
      <c r="H1057" s="6"/>
      <c r="I1057" s="6"/>
      <c r="J1057" s="11" t="str">
        <f t="shared" si="82"/>
        <v/>
      </c>
      <c r="K1057" s="17" t="str">
        <f t="shared" si="83"/>
        <v/>
      </c>
      <c r="L1057" s="18" t="str">
        <f t="shared" si="84"/>
        <v/>
      </c>
      <c r="M1057" s="18" t="str">
        <f>IF(J1057&lt;&gt;-1,"",ROUND(F1057*IFERROR(INDEX(Stocuri!$G$5:$G$204,MATCH(D1057,Coduri,0)),0),2))</f>
        <v/>
      </c>
      <c r="N1057" s="19" t="str">
        <f t="shared" si="85"/>
        <v/>
      </c>
    </row>
    <row r="1058" spans="2:14" x14ac:dyDescent="0.2">
      <c r="B1058" s="15"/>
      <c r="C1058" s="6"/>
      <c r="D1058" s="12"/>
      <c r="E1058" s="10" t="str">
        <f t="shared" si="81"/>
        <v/>
      </c>
      <c r="F1058" s="16"/>
      <c r="G1058" s="13"/>
      <c r="H1058" s="6"/>
      <c r="I1058" s="6"/>
      <c r="J1058" s="11" t="str">
        <f t="shared" si="82"/>
        <v/>
      </c>
      <c r="K1058" s="17" t="str">
        <f t="shared" si="83"/>
        <v/>
      </c>
      <c r="L1058" s="18" t="str">
        <f t="shared" si="84"/>
        <v/>
      </c>
      <c r="M1058" s="18" t="str">
        <f>IF(J1058&lt;&gt;-1,"",ROUND(F1058*IFERROR(INDEX(Stocuri!$G$5:$G$204,MATCH(D1058,Coduri,0)),0),2))</f>
        <v/>
      </c>
      <c r="N1058" s="19" t="str">
        <f t="shared" si="85"/>
        <v/>
      </c>
    </row>
    <row r="1059" spans="2:14" x14ac:dyDescent="0.2">
      <c r="B1059" s="15"/>
      <c r="C1059" s="6"/>
      <c r="D1059" s="12"/>
      <c r="E1059" s="10" t="str">
        <f t="shared" si="81"/>
        <v/>
      </c>
      <c r="F1059" s="16"/>
      <c r="G1059" s="13"/>
      <c r="H1059" s="6"/>
      <c r="I1059" s="6"/>
      <c r="J1059" s="11" t="str">
        <f t="shared" si="82"/>
        <v/>
      </c>
      <c r="K1059" s="17" t="str">
        <f t="shared" si="83"/>
        <v/>
      </c>
      <c r="L1059" s="18" t="str">
        <f t="shared" si="84"/>
        <v/>
      </c>
      <c r="M1059" s="18" t="str">
        <f>IF(J1059&lt;&gt;-1,"",ROUND(F1059*IFERROR(INDEX(Stocuri!$G$5:$G$204,MATCH(D1059,Coduri,0)),0),2))</f>
        <v/>
      </c>
      <c r="N1059" s="19" t="str">
        <f t="shared" si="85"/>
        <v/>
      </c>
    </row>
    <row r="1060" spans="2:14" x14ac:dyDescent="0.2">
      <c r="B1060" s="15"/>
      <c r="C1060" s="6"/>
      <c r="D1060" s="12"/>
      <c r="E1060" s="10" t="str">
        <f t="shared" si="81"/>
        <v/>
      </c>
      <c r="F1060" s="16"/>
      <c r="G1060" s="13"/>
      <c r="H1060" s="6"/>
      <c r="I1060" s="6"/>
      <c r="J1060" s="11" t="str">
        <f t="shared" si="82"/>
        <v/>
      </c>
      <c r="K1060" s="17" t="str">
        <f t="shared" si="83"/>
        <v/>
      </c>
      <c r="L1060" s="18" t="str">
        <f t="shared" si="84"/>
        <v/>
      </c>
      <c r="M1060" s="18" t="str">
        <f>IF(J1060&lt;&gt;-1,"",ROUND(F1060*IFERROR(INDEX(Stocuri!$G$5:$G$204,MATCH(D1060,Coduri,0)),0),2))</f>
        <v/>
      </c>
      <c r="N1060" s="19" t="str">
        <f t="shared" si="85"/>
        <v/>
      </c>
    </row>
    <row r="1061" spans="2:14" x14ac:dyDescent="0.2">
      <c r="B1061" s="15"/>
      <c r="C1061" s="6"/>
      <c r="D1061" s="12"/>
      <c r="E1061" s="10" t="str">
        <f t="shared" si="81"/>
        <v/>
      </c>
      <c r="F1061" s="16"/>
      <c r="G1061" s="13"/>
      <c r="H1061" s="6"/>
      <c r="I1061" s="6"/>
      <c r="J1061" s="11" t="str">
        <f t="shared" si="82"/>
        <v/>
      </c>
      <c r="K1061" s="17" t="str">
        <f t="shared" si="83"/>
        <v/>
      </c>
      <c r="L1061" s="18" t="str">
        <f t="shared" si="84"/>
        <v/>
      </c>
      <c r="M1061" s="18" t="str">
        <f>IF(J1061&lt;&gt;-1,"",ROUND(F1061*IFERROR(INDEX(Stocuri!$G$5:$G$204,MATCH(D1061,Coduri,0)),0),2))</f>
        <v/>
      </c>
      <c r="N1061" s="19" t="str">
        <f t="shared" si="85"/>
        <v/>
      </c>
    </row>
    <row r="1062" spans="2:14" x14ac:dyDescent="0.2">
      <c r="B1062" s="15"/>
      <c r="C1062" s="6"/>
      <c r="D1062" s="12"/>
      <c r="E1062" s="10" t="str">
        <f t="shared" si="81"/>
        <v/>
      </c>
      <c r="F1062" s="16"/>
      <c r="G1062" s="13"/>
      <c r="H1062" s="6"/>
      <c r="I1062" s="6"/>
      <c r="J1062" s="11" t="str">
        <f t="shared" si="82"/>
        <v/>
      </c>
      <c r="K1062" s="17" t="str">
        <f t="shared" si="83"/>
        <v/>
      </c>
      <c r="L1062" s="18" t="str">
        <f t="shared" si="84"/>
        <v/>
      </c>
      <c r="M1062" s="18" t="str">
        <f>IF(J1062&lt;&gt;-1,"",ROUND(F1062*IFERROR(INDEX(Stocuri!$G$5:$G$204,MATCH(D1062,Coduri,0)),0),2))</f>
        <v/>
      </c>
      <c r="N1062" s="19" t="str">
        <f t="shared" si="85"/>
        <v/>
      </c>
    </row>
    <row r="1063" spans="2:14" x14ac:dyDescent="0.2">
      <c r="B1063" s="15"/>
      <c r="C1063" s="6"/>
      <c r="D1063" s="12"/>
      <c r="E1063" s="10" t="str">
        <f t="shared" si="81"/>
        <v/>
      </c>
      <c r="F1063" s="16"/>
      <c r="G1063" s="13"/>
      <c r="H1063" s="6"/>
      <c r="I1063" s="6"/>
      <c r="J1063" s="11" t="str">
        <f t="shared" si="82"/>
        <v/>
      </c>
      <c r="K1063" s="17" t="str">
        <f t="shared" si="83"/>
        <v/>
      </c>
      <c r="L1063" s="18" t="str">
        <f t="shared" si="84"/>
        <v/>
      </c>
      <c r="M1063" s="18" t="str">
        <f>IF(J1063&lt;&gt;-1,"",ROUND(F1063*IFERROR(INDEX(Stocuri!$G$5:$G$204,MATCH(D1063,Coduri,0)),0),2))</f>
        <v/>
      </c>
      <c r="N1063" s="19" t="str">
        <f t="shared" si="85"/>
        <v/>
      </c>
    </row>
    <row r="1064" spans="2:14" x14ac:dyDescent="0.2">
      <c r="B1064" s="15"/>
      <c r="C1064" s="6"/>
      <c r="D1064" s="12"/>
      <c r="E1064" s="10" t="str">
        <f t="shared" si="81"/>
        <v/>
      </c>
      <c r="F1064" s="16"/>
      <c r="G1064" s="13"/>
      <c r="H1064" s="6"/>
      <c r="I1064" s="6"/>
      <c r="J1064" s="11" t="str">
        <f t="shared" si="82"/>
        <v/>
      </c>
      <c r="K1064" s="17" t="str">
        <f t="shared" si="83"/>
        <v/>
      </c>
      <c r="L1064" s="18" t="str">
        <f t="shared" si="84"/>
        <v/>
      </c>
      <c r="M1064" s="18" t="str">
        <f>IF(J1064&lt;&gt;-1,"",ROUND(F1064*IFERROR(INDEX(Stocuri!$G$5:$G$204,MATCH(D1064,Coduri,0)),0),2))</f>
        <v/>
      </c>
      <c r="N1064" s="19" t="str">
        <f t="shared" si="85"/>
        <v/>
      </c>
    </row>
    <row r="1065" spans="2:14" x14ac:dyDescent="0.2">
      <c r="B1065" s="15"/>
      <c r="C1065" s="6"/>
      <c r="D1065" s="12"/>
      <c r="E1065" s="10" t="str">
        <f t="shared" si="81"/>
        <v/>
      </c>
      <c r="F1065" s="16"/>
      <c r="G1065" s="13"/>
      <c r="H1065" s="6"/>
      <c r="I1065" s="6"/>
      <c r="J1065" s="11" t="str">
        <f t="shared" si="82"/>
        <v/>
      </c>
      <c r="K1065" s="17" t="str">
        <f t="shared" si="83"/>
        <v/>
      </c>
      <c r="L1065" s="18" t="str">
        <f t="shared" si="84"/>
        <v/>
      </c>
      <c r="M1065" s="18" t="str">
        <f>IF(J1065&lt;&gt;-1,"",ROUND(F1065*IFERROR(INDEX(Stocuri!$G$5:$G$204,MATCH(D1065,Coduri,0)),0),2))</f>
        <v/>
      </c>
      <c r="N1065" s="19" t="str">
        <f t="shared" si="85"/>
        <v/>
      </c>
    </row>
    <row r="1066" spans="2:14" x14ac:dyDescent="0.2">
      <c r="B1066" s="15"/>
      <c r="C1066" s="6"/>
      <c r="D1066" s="12"/>
      <c r="E1066" s="10" t="str">
        <f t="shared" si="81"/>
        <v/>
      </c>
      <c r="F1066" s="16"/>
      <c r="G1066" s="13"/>
      <c r="H1066" s="6"/>
      <c r="I1066" s="6"/>
      <c r="J1066" s="11" t="str">
        <f t="shared" si="82"/>
        <v/>
      </c>
      <c r="K1066" s="17" t="str">
        <f t="shared" si="83"/>
        <v/>
      </c>
      <c r="L1066" s="18" t="str">
        <f t="shared" si="84"/>
        <v/>
      </c>
      <c r="M1066" s="18" t="str">
        <f>IF(J1066&lt;&gt;-1,"",ROUND(F1066*IFERROR(INDEX(Stocuri!$G$5:$G$204,MATCH(D1066,Coduri,0)),0),2))</f>
        <v/>
      </c>
      <c r="N1066" s="19" t="str">
        <f t="shared" si="85"/>
        <v/>
      </c>
    </row>
    <row r="1067" spans="2:14" x14ac:dyDescent="0.2">
      <c r="B1067" s="15"/>
      <c r="C1067" s="6"/>
      <c r="D1067" s="12"/>
      <c r="E1067" s="10" t="str">
        <f t="shared" si="81"/>
        <v/>
      </c>
      <c r="F1067" s="16"/>
      <c r="G1067" s="13"/>
      <c r="H1067" s="6"/>
      <c r="I1067" s="6"/>
      <c r="J1067" s="11" t="str">
        <f t="shared" si="82"/>
        <v/>
      </c>
      <c r="K1067" s="17" t="str">
        <f t="shared" si="83"/>
        <v/>
      </c>
      <c r="L1067" s="18" t="str">
        <f t="shared" si="84"/>
        <v/>
      </c>
      <c r="M1067" s="18" t="str">
        <f>IF(J1067&lt;&gt;-1,"",ROUND(F1067*IFERROR(INDEX(Stocuri!$G$5:$G$204,MATCH(D1067,Coduri,0)),0),2))</f>
        <v/>
      </c>
      <c r="N1067" s="19" t="str">
        <f t="shared" si="85"/>
        <v/>
      </c>
    </row>
    <row r="1068" spans="2:14" x14ac:dyDescent="0.2">
      <c r="B1068" s="15"/>
      <c r="C1068" s="6"/>
      <c r="D1068" s="12"/>
      <c r="E1068" s="10" t="str">
        <f t="shared" si="81"/>
        <v/>
      </c>
      <c r="F1068" s="16"/>
      <c r="G1068" s="13"/>
      <c r="H1068" s="6"/>
      <c r="I1068" s="6"/>
      <c r="J1068" s="11" t="str">
        <f t="shared" si="82"/>
        <v/>
      </c>
      <c r="K1068" s="17" t="str">
        <f t="shared" si="83"/>
        <v/>
      </c>
      <c r="L1068" s="18" t="str">
        <f t="shared" si="84"/>
        <v/>
      </c>
      <c r="M1068" s="18" t="str">
        <f>IF(J1068&lt;&gt;-1,"",ROUND(F1068*IFERROR(INDEX(Stocuri!$G$5:$G$204,MATCH(D1068,Coduri,0)),0),2))</f>
        <v/>
      </c>
      <c r="N1068" s="19" t="str">
        <f t="shared" si="85"/>
        <v/>
      </c>
    </row>
    <row r="1069" spans="2:14" x14ac:dyDescent="0.2">
      <c r="B1069" s="15"/>
      <c r="C1069" s="6"/>
      <c r="D1069" s="12"/>
      <c r="E1069" s="10" t="str">
        <f t="shared" si="81"/>
        <v/>
      </c>
      <c r="F1069" s="16"/>
      <c r="G1069" s="13"/>
      <c r="H1069" s="6"/>
      <c r="I1069" s="6"/>
      <c r="J1069" s="11" t="str">
        <f t="shared" si="82"/>
        <v/>
      </c>
      <c r="K1069" s="17" t="str">
        <f t="shared" si="83"/>
        <v/>
      </c>
      <c r="L1069" s="18" t="str">
        <f t="shared" si="84"/>
        <v/>
      </c>
      <c r="M1069" s="18" t="str">
        <f>IF(J1069&lt;&gt;-1,"",ROUND(F1069*IFERROR(INDEX(Stocuri!$G$5:$G$204,MATCH(D1069,Coduri,0)),0),2))</f>
        <v/>
      </c>
      <c r="N1069" s="19" t="str">
        <f t="shared" si="85"/>
        <v/>
      </c>
    </row>
    <row r="1070" spans="2:14" x14ac:dyDescent="0.2">
      <c r="B1070" s="15"/>
      <c r="C1070" s="6"/>
      <c r="D1070" s="12"/>
      <c r="E1070" s="10" t="str">
        <f t="shared" si="81"/>
        <v/>
      </c>
      <c r="F1070" s="16"/>
      <c r="G1070" s="13"/>
      <c r="H1070" s="6"/>
      <c r="I1070" s="6"/>
      <c r="J1070" s="11" t="str">
        <f t="shared" si="82"/>
        <v/>
      </c>
      <c r="K1070" s="17" t="str">
        <f t="shared" si="83"/>
        <v/>
      </c>
      <c r="L1070" s="18" t="str">
        <f t="shared" si="84"/>
        <v/>
      </c>
      <c r="M1070" s="18" t="str">
        <f>IF(J1070&lt;&gt;-1,"",ROUND(F1070*IFERROR(INDEX(Stocuri!$G$5:$G$204,MATCH(D1070,Coduri,0)),0),2))</f>
        <v/>
      </c>
      <c r="N1070" s="19" t="str">
        <f t="shared" si="85"/>
        <v/>
      </c>
    </row>
    <row r="1071" spans="2:14" x14ac:dyDescent="0.2">
      <c r="B1071" s="15"/>
      <c r="C1071" s="6"/>
      <c r="D1071" s="12"/>
      <c r="E1071" s="10" t="str">
        <f t="shared" si="81"/>
        <v/>
      </c>
      <c r="F1071" s="16"/>
      <c r="G1071" s="13"/>
      <c r="H1071" s="6"/>
      <c r="I1071" s="6"/>
      <c r="J1071" s="11" t="str">
        <f t="shared" si="82"/>
        <v/>
      </c>
      <c r="K1071" s="17" t="str">
        <f t="shared" si="83"/>
        <v/>
      </c>
      <c r="L1071" s="18" t="str">
        <f t="shared" si="84"/>
        <v/>
      </c>
      <c r="M1071" s="18" t="str">
        <f>IF(J1071&lt;&gt;-1,"",ROUND(F1071*IFERROR(INDEX(Stocuri!$G$5:$G$204,MATCH(D1071,Coduri,0)),0),2))</f>
        <v/>
      </c>
      <c r="N1071" s="19" t="str">
        <f t="shared" si="85"/>
        <v/>
      </c>
    </row>
    <row r="1072" spans="2:14" x14ac:dyDescent="0.2">
      <c r="B1072" s="15"/>
      <c r="C1072" s="6"/>
      <c r="D1072" s="12"/>
      <c r="E1072" s="10" t="str">
        <f t="shared" si="81"/>
        <v/>
      </c>
      <c r="F1072" s="16"/>
      <c r="G1072" s="13"/>
      <c r="H1072" s="6"/>
      <c r="I1072" s="6"/>
      <c r="J1072" s="11" t="str">
        <f t="shared" si="82"/>
        <v/>
      </c>
      <c r="K1072" s="17" t="str">
        <f t="shared" si="83"/>
        <v/>
      </c>
      <c r="L1072" s="18" t="str">
        <f t="shared" si="84"/>
        <v/>
      </c>
      <c r="M1072" s="18" t="str">
        <f>IF(J1072&lt;&gt;-1,"",ROUND(F1072*IFERROR(INDEX(Stocuri!$G$5:$G$204,MATCH(D1072,Coduri,0)),0),2))</f>
        <v/>
      </c>
      <c r="N1072" s="19" t="str">
        <f t="shared" si="85"/>
        <v/>
      </c>
    </row>
    <row r="1073" spans="2:14" x14ac:dyDescent="0.2">
      <c r="B1073" s="15"/>
      <c r="C1073" s="6"/>
      <c r="D1073" s="12"/>
      <c r="E1073" s="10" t="str">
        <f t="shared" si="81"/>
        <v/>
      </c>
      <c r="F1073" s="16"/>
      <c r="G1073" s="13"/>
      <c r="H1073" s="6"/>
      <c r="I1073" s="6"/>
      <c r="J1073" s="11" t="str">
        <f t="shared" si="82"/>
        <v/>
      </c>
      <c r="K1073" s="17" t="str">
        <f t="shared" si="83"/>
        <v/>
      </c>
      <c r="L1073" s="18" t="str">
        <f t="shared" si="84"/>
        <v/>
      </c>
      <c r="M1073" s="18" t="str">
        <f>IF(J1073&lt;&gt;-1,"",ROUND(F1073*IFERROR(INDEX(Stocuri!$G$5:$G$204,MATCH(D1073,Coduri,0)),0),2))</f>
        <v/>
      </c>
      <c r="N1073" s="19" t="str">
        <f t="shared" si="85"/>
        <v/>
      </c>
    </row>
    <row r="1074" spans="2:14" x14ac:dyDescent="0.2">
      <c r="B1074" s="15"/>
      <c r="C1074" s="6"/>
      <c r="D1074" s="12"/>
      <c r="E1074" s="10" t="str">
        <f t="shared" si="81"/>
        <v/>
      </c>
      <c r="F1074" s="16"/>
      <c r="G1074" s="13"/>
      <c r="H1074" s="6"/>
      <c r="I1074" s="6"/>
      <c r="J1074" s="11" t="str">
        <f t="shared" si="82"/>
        <v/>
      </c>
      <c r="K1074" s="17" t="str">
        <f t="shared" si="83"/>
        <v/>
      </c>
      <c r="L1074" s="18" t="str">
        <f t="shared" si="84"/>
        <v/>
      </c>
      <c r="M1074" s="18" t="str">
        <f>IF(J1074&lt;&gt;-1,"",ROUND(F1074*IFERROR(INDEX(Stocuri!$G$5:$G$204,MATCH(D1074,Coduri,0)),0),2))</f>
        <v/>
      </c>
      <c r="N1074" s="19" t="str">
        <f t="shared" si="85"/>
        <v/>
      </c>
    </row>
    <row r="1075" spans="2:14" x14ac:dyDescent="0.2">
      <c r="B1075" s="15"/>
      <c r="C1075" s="6"/>
      <c r="D1075" s="12"/>
      <c r="E1075" s="10" t="str">
        <f t="shared" si="81"/>
        <v/>
      </c>
      <c r="F1075" s="16"/>
      <c r="G1075" s="13"/>
      <c r="H1075" s="6"/>
      <c r="I1075" s="6"/>
      <c r="J1075" s="11" t="str">
        <f t="shared" si="82"/>
        <v/>
      </c>
      <c r="K1075" s="17" t="str">
        <f t="shared" si="83"/>
        <v/>
      </c>
      <c r="L1075" s="18" t="str">
        <f t="shared" si="84"/>
        <v/>
      </c>
      <c r="M1075" s="18" t="str">
        <f>IF(J1075&lt;&gt;-1,"",ROUND(F1075*IFERROR(INDEX(Stocuri!$G$5:$G$204,MATCH(D1075,Coduri,0)),0),2))</f>
        <v/>
      </c>
      <c r="N1075" s="19" t="str">
        <f t="shared" si="85"/>
        <v/>
      </c>
    </row>
    <row r="1076" spans="2:14" x14ac:dyDescent="0.2">
      <c r="B1076" s="15"/>
      <c r="C1076" s="6"/>
      <c r="D1076" s="12"/>
      <c r="E1076" s="10" t="str">
        <f t="shared" si="81"/>
        <v/>
      </c>
      <c r="F1076" s="16"/>
      <c r="G1076" s="13"/>
      <c r="H1076" s="6"/>
      <c r="I1076" s="6"/>
      <c r="J1076" s="11" t="str">
        <f t="shared" si="82"/>
        <v/>
      </c>
      <c r="K1076" s="17" t="str">
        <f t="shared" si="83"/>
        <v/>
      </c>
      <c r="L1076" s="18" t="str">
        <f t="shared" si="84"/>
        <v/>
      </c>
      <c r="M1076" s="18" t="str">
        <f>IF(J1076&lt;&gt;-1,"",ROUND(F1076*IFERROR(INDEX(Stocuri!$G$5:$G$204,MATCH(D1076,Coduri,0)),0),2))</f>
        <v/>
      </c>
      <c r="N1076" s="19" t="str">
        <f t="shared" si="85"/>
        <v/>
      </c>
    </row>
    <row r="1077" spans="2:14" x14ac:dyDescent="0.2">
      <c r="B1077" s="15"/>
      <c r="C1077" s="6"/>
      <c r="D1077" s="12"/>
      <c r="E1077" s="10" t="str">
        <f t="shared" si="81"/>
        <v/>
      </c>
      <c r="F1077" s="16"/>
      <c r="G1077" s="13"/>
      <c r="H1077" s="6"/>
      <c r="I1077" s="6"/>
      <c r="J1077" s="11" t="str">
        <f t="shared" si="82"/>
        <v/>
      </c>
      <c r="K1077" s="17" t="str">
        <f t="shared" si="83"/>
        <v/>
      </c>
      <c r="L1077" s="18" t="str">
        <f t="shared" si="84"/>
        <v/>
      </c>
      <c r="M1077" s="18" t="str">
        <f>IF(J1077&lt;&gt;-1,"",ROUND(F1077*IFERROR(INDEX(Stocuri!$G$5:$G$204,MATCH(D1077,Coduri,0)),0),2))</f>
        <v/>
      </c>
      <c r="N1077" s="19" t="str">
        <f t="shared" si="85"/>
        <v/>
      </c>
    </row>
    <row r="1078" spans="2:14" x14ac:dyDescent="0.2">
      <c r="B1078" s="15"/>
      <c r="C1078" s="6"/>
      <c r="D1078" s="12"/>
      <c r="E1078" s="10" t="str">
        <f t="shared" si="81"/>
        <v/>
      </c>
      <c r="F1078" s="16"/>
      <c r="G1078" s="13"/>
      <c r="H1078" s="6"/>
      <c r="I1078" s="6"/>
      <c r="J1078" s="11" t="str">
        <f t="shared" si="82"/>
        <v/>
      </c>
      <c r="K1078" s="17" t="str">
        <f t="shared" si="83"/>
        <v/>
      </c>
      <c r="L1078" s="18" t="str">
        <f t="shared" si="84"/>
        <v/>
      </c>
      <c r="M1078" s="18" t="str">
        <f>IF(J1078&lt;&gt;-1,"",ROUND(F1078*IFERROR(INDEX(Stocuri!$G$5:$G$204,MATCH(D1078,Coduri,0)),0),2))</f>
        <v/>
      </c>
      <c r="N1078" s="19" t="str">
        <f t="shared" si="85"/>
        <v/>
      </c>
    </row>
    <row r="1079" spans="2:14" x14ac:dyDescent="0.2">
      <c r="B1079" s="15"/>
      <c r="C1079" s="6"/>
      <c r="D1079" s="12"/>
      <c r="E1079" s="10" t="str">
        <f t="shared" si="81"/>
        <v/>
      </c>
      <c r="F1079" s="16"/>
      <c r="G1079" s="13"/>
      <c r="H1079" s="6"/>
      <c r="I1079" s="6"/>
      <c r="J1079" s="11" t="str">
        <f t="shared" si="82"/>
        <v/>
      </c>
      <c r="K1079" s="17" t="str">
        <f t="shared" si="83"/>
        <v/>
      </c>
      <c r="L1079" s="18" t="str">
        <f t="shared" si="84"/>
        <v/>
      </c>
      <c r="M1079" s="18" t="str">
        <f>IF(J1079&lt;&gt;-1,"",ROUND(F1079*IFERROR(INDEX(Stocuri!$G$5:$G$204,MATCH(D1079,Coduri,0)),0),2))</f>
        <v/>
      </c>
      <c r="N1079" s="19" t="str">
        <f t="shared" si="85"/>
        <v/>
      </c>
    </row>
    <row r="1080" spans="2:14" x14ac:dyDescent="0.2">
      <c r="B1080" s="15"/>
      <c r="C1080" s="6"/>
      <c r="D1080" s="12"/>
      <c r="E1080" s="10" t="str">
        <f t="shared" si="81"/>
        <v/>
      </c>
      <c r="F1080" s="16"/>
      <c r="G1080" s="13"/>
      <c r="H1080" s="6"/>
      <c r="I1080" s="6"/>
      <c r="J1080" s="11" t="str">
        <f t="shared" si="82"/>
        <v/>
      </c>
      <c r="K1080" s="17" t="str">
        <f t="shared" si="83"/>
        <v/>
      </c>
      <c r="L1080" s="18" t="str">
        <f t="shared" si="84"/>
        <v/>
      </c>
      <c r="M1080" s="18" t="str">
        <f>IF(J1080&lt;&gt;-1,"",ROUND(F1080*IFERROR(INDEX(Stocuri!$G$5:$G$204,MATCH(D1080,Coduri,0)),0),2))</f>
        <v/>
      </c>
      <c r="N1080" s="19" t="str">
        <f t="shared" si="85"/>
        <v/>
      </c>
    </row>
    <row r="1081" spans="2:14" x14ac:dyDescent="0.2">
      <c r="B1081" s="15"/>
      <c r="C1081" s="6"/>
      <c r="D1081" s="12"/>
      <c r="E1081" s="10" t="str">
        <f t="shared" si="81"/>
        <v/>
      </c>
      <c r="F1081" s="16"/>
      <c r="G1081" s="13"/>
      <c r="H1081" s="6"/>
      <c r="I1081" s="6"/>
      <c r="J1081" s="11" t="str">
        <f t="shared" si="82"/>
        <v/>
      </c>
      <c r="K1081" s="17" t="str">
        <f t="shared" si="83"/>
        <v/>
      </c>
      <c r="L1081" s="18" t="str">
        <f t="shared" si="84"/>
        <v/>
      </c>
      <c r="M1081" s="18" t="str">
        <f>IF(J1081&lt;&gt;-1,"",ROUND(F1081*IFERROR(INDEX(Stocuri!$G$5:$G$204,MATCH(D1081,Coduri,0)),0),2))</f>
        <v/>
      </c>
      <c r="N1081" s="19" t="str">
        <f t="shared" si="85"/>
        <v/>
      </c>
    </row>
    <row r="1082" spans="2:14" x14ac:dyDescent="0.2">
      <c r="B1082" s="15"/>
      <c r="C1082" s="6"/>
      <c r="D1082" s="12"/>
      <c r="E1082" s="10" t="str">
        <f t="shared" si="81"/>
        <v/>
      </c>
      <c r="F1082" s="16"/>
      <c r="G1082" s="13"/>
      <c r="H1082" s="6"/>
      <c r="I1082" s="6"/>
      <c r="J1082" s="11" t="str">
        <f t="shared" si="82"/>
        <v/>
      </c>
      <c r="K1082" s="17" t="str">
        <f t="shared" si="83"/>
        <v/>
      </c>
      <c r="L1082" s="18" t="str">
        <f t="shared" si="84"/>
        <v/>
      </c>
      <c r="M1082" s="18" t="str">
        <f>IF(J1082&lt;&gt;-1,"",ROUND(F1082*IFERROR(INDEX(Stocuri!$G$5:$G$204,MATCH(D1082,Coduri,0)),0),2))</f>
        <v/>
      </c>
      <c r="N1082" s="19" t="str">
        <f t="shared" si="85"/>
        <v/>
      </c>
    </row>
    <row r="1083" spans="2:14" x14ac:dyDescent="0.2">
      <c r="B1083" s="15"/>
      <c r="C1083" s="6"/>
      <c r="D1083" s="12"/>
      <c r="E1083" s="10" t="str">
        <f t="shared" si="81"/>
        <v/>
      </c>
      <c r="F1083" s="16"/>
      <c r="G1083" s="13"/>
      <c r="H1083" s="6"/>
      <c r="I1083" s="6"/>
      <c r="J1083" s="11" t="str">
        <f t="shared" si="82"/>
        <v/>
      </c>
      <c r="K1083" s="17" t="str">
        <f t="shared" si="83"/>
        <v/>
      </c>
      <c r="L1083" s="18" t="str">
        <f t="shared" si="84"/>
        <v/>
      </c>
      <c r="M1083" s="18" t="str">
        <f>IF(J1083&lt;&gt;-1,"",ROUND(F1083*IFERROR(INDEX(Stocuri!$G$5:$G$204,MATCH(D1083,Coduri,0)),0),2))</f>
        <v/>
      </c>
      <c r="N1083" s="19" t="str">
        <f t="shared" si="85"/>
        <v/>
      </c>
    </row>
    <row r="1084" spans="2:14" x14ac:dyDescent="0.2">
      <c r="B1084" s="15"/>
      <c r="C1084" s="6"/>
      <c r="D1084" s="12"/>
      <c r="E1084" s="10" t="str">
        <f t="shared" si="81"/>
        <v/>
      </c>
      <c r="F1084" s="16"/>
      <c r="G1084" s="13"/>
      <c r="H1084" s="6"/>
      <c r="I1084" s="6"/>
      <c r="J1084" s="11" t="str">
        <f t="shared" si="82"/>
        <v/>
      </c>
      <c r="K1084" s="17" t="str">
        <f t="shared" si="83"/>
        <v/>
      </c>
      <c r="L1084" s="18" t="str">
        <f t="shared" si="84"/>
        <v/>
      </c>
      <c r="M1084" s="18" t="str">
        <f>IF(J1084&lt;&gt;-1,"",ROUND(F1084*IFERROR(INDEX(Stocuri!$G$5:$G$204,MATCH(D1084,Coduri,0)),0),2))</f>
        <v/>
      </c>
      <c r="N1084" s="19" t="str">
        <f t="shared" si="85"/>
        <v/>
      </c>
    </row>
    <row r="1085" spans="2:14" x14ac:dyDescent="0.2">
      <c r="B1085" s="15"/>
      <c r="C1085" s="6"/>
      <c r="D1085" s="12"/>
      <c r="E1085" s="10" t="str">
        <f t="shared" si="81"/>
        <v/>
      </c>
      <c r="F1085" s="16"/>
      <c r="G1085" s="13"/>
      <c r="H1085" s="6"/>
      <c r="I1085" s="6"/>
      <c r="J1085" s="11" t="str">
        <f t="shared" si="82"/>
        <v/>
      </c>
      <c r="K1085" s="17" t="str">
        <f t="shared" si="83"/>
        <v/>
      </c>
      <c r="L1085" s="18" t="str">
        <f t="shared" si="84"/>
        <v/>
      </c>
      <c r="M1085" s="18" t="str">
        <f>IF(J1085&lt;&gt;-1,"",ROUND(F1085*IFERROR(INDEX(Stocuri!$G$5:$G$204,MATCH(D1085,Coduri,0)),0),2))</f>
        <v/>
      </c>
      <c r="N1085" s="19" t="str">
        <f t="shared" si="85"/>
        <v/>
      </c>
    </row>
    <row r="1086" spans="2:14" x14ac:dyDescent="0.2">
      <c r="B1086" s="15"/>
      <c r="C1086" s="6"/>
      <c r="D1086" s="12"/>
      <c r="E1086" s="10" t="str">
        <f t="shared" si="81"/>
        <v/>
      </c>
      <c r="F1086" s="16"/>
      <c r="G1086" s="13"/>
      <c r="H1086" s="6"/>
      <c r="I1086" s="6"/>
      <c r="J1086" s="11" t="str">
        <f t="shared" si="82"/>
        <v/>
      </c>
      <c r="K1086" s="17" t="str">
        <f t="shared" si="83"/>
        <v/>
      </c>
      <c r="L1086" s="18" t="str">
        <f t="shared" si="84"/>
        <v/>
      </c>
      <c r="M1086" s="18" t="str">
        <f>IF(J1086&lt;&gt;-1,"",ROUND(F1086*IFERROR(INDEX(Stocuri!$G$5:$G$204,MATCH(D1086,Coduri,0)),0),2))</f>
        <v/>
      </c>
      <c r="N1086" s="19" t="str">
        <f t="shared" si="85"/>
        <v/>
      </c>
    </row>
    <row r="1087" spans="2:14" x14ac:dyDescent="0.2">
      <c r="B1087" s="15"/>
      <c r="C1087" s="6"/>
      <c r="D1087" s="12"/>
      <c r="E1087" s="10" t="str">
        <f t="shared" si="81"/>
        <v/>
      </c>
      <c r="F1087" s="16"/>
      <c r="G1087" s="13"/>
      <c r="H1087" s="6"/>
      <c r="I1087" s="6"/>
      <c r="J1087" s="11" t="str">
        <f t="shared" si="82"/>
        <v/>
      </c>
      <c r="K1087" s="17" t="str">
        <f t="shared" si="83"/>
        <v/>
      </c>
      <c r="L1087" s="18" t="str">
        <f t="shared" si="84"/>
        <v/>
      </c>
      <c r="M1087" s="18" t="str">
        <f>IF(J1087&lt;&gt;-1,"",ROUND(F1087*IFERROR(INDEX(Stocuri!$G$5:$G$204,MATCH(D1087,Coduri,0)),0),2))</f>
        <v/>
      </c>
      <c r="N1087" s="19" t="str">
        <f t="shared" si="85"/>
        <v/>
      </c>
    </row>
    <row r="1088" spans="2:14" x14ac:dyDescent="0.2">
      <c r="B1088" s="15"/>
      <c r="C1088" s="6"/>
      <c r="D1088" s="12"/>
      <c r="E1088" s="10" t="str">
        <f t="shared" si="81"/>
        <v/>
      </c>
      <c r="F1088" s="16"/>
      <c r="G1088" s="13"/>
      <c r="H1088" s="6"/>
      <c r="I1088" s="6"/>
      <c r="J1088" s="11" t="str">
        <f t="shared" si="82"/>
        <v/>
      </c>
      <c r="K1088" s="17" t="str">
        <f t="shared" si="83"/>
        <v/>
      </c>
      <c r="L1088" s="18" t="str">
        <f t="shared" si="84"/>
        <v/>
      </c>
      <c r="M1088" s="18" t="str">
        <f>IF(J1088&lt;&gt;-1,"",ROUND(F1088*IFERROR(INDEX(Stocuri!$G$5:$G$204,MATCH(D1088,Coduri,0)),0),2))</f>
        <v/>
      </c>
      <c r="N1088" s="19" t="str">
        <f t="shared" si="85"/>
        <v/>
      </c>
    </row>
    <row r="1089" spans="2:14" x14ac:dyDescent="0.2">
      <c r="B1089" s="15"/>
      <c r="C1089" s="6"/>
      <c r="D1089" s="12"/>
      <c r="E1089" s="10" t="str">
        <f t="shared" si="81"/>
        <v/>
      </c>
      <c r="F1089" s="16"/>
      <c r="G1089" s="13"/>
      <c r="H1089" s="6"/>
      <c r="I1089" s="6"/>
      <c r="J1089" s="11" t="str">
        <f t="shared" si="82"/>
        <v/>
      </c>
      <c r="K1089" s="17" t="str">
        <f t="shared" si="83"/>
        <v/>
      </c>
      <c r="L1089" s="18" t="str">
        <f t="shared" si="84"/>
        <v/>
      </c>
      <c r="M1089" s="18" t="str">
        <f>IF(J1089&lt;&gt;-1,"",ROUND(F1089*IFERROR(INDEX(Stocuri!$G$5:$G$204,MATCH(D1089,Coduri,0)),0),2))</f>
        <v/>
      </c>
      <c r="N1089" s="19" t="str">
        <f t="shared" si="85"/>
        <v/>
      </c>
    </row>
    <row r="1090" spans="2:14" x14ac:dyDescent="0.2">
      <c r="B1090" s="15"/>
      <c r="C1090" s="6"/>
      <c r="D1090" s="12"/>
      <c r="E1090" s="10" t="str">
        <f t="shared" si="81"/>
        <v/>
      </c>
      <c r="F1090" s="16"/>
      <c r="G1090" s="13"/>
      <c r="H1090" s="6"/>
      <c r="I1090" s="6"/>
      <c r="J1090" s="11" t="str">
        <f t="shared" si="82"/>
        <v/>
      </c>
      <c r="K1090" s="17" t="str">
        <f t="shared" si="83"/>
        <v/>
      </c>
      <c r="L1090" s="18" t="str">
        <f t="shared" si="84"/>
        <v/>
      </c>
      <c r="M1090" s="18" t="str">
        <f>IF(J1090&lt;&gt;-1,"",ROUND(F1090*IFERROR(INDEX(Stocuri!$G$5:$G$204,MATCH(D1090,Coduri,0)),0),2))</f>
        <v/>
      </c>
      <c r="N1090" s="19" t="str">
        <f t="shared" si="85"/>
        <v/>
      </c>
    </row>
    <row r="1091" spans="2:14" x14ac:dyDescent="0.2">
      <c r="B1091" s="15"/>
      <c r="C1091" s="6"/>
      <c r="D1091" s="12"/>
      <c r="E1091" s="10" t="str">
        <f t="shared" si="81"/>
        <v/>
      </c>
      <c r="F1091" s="16"/>
      <c r="G1091" s="13"/>
      <c r="H1091" s="6"/>
      <c r="I1091" s="6"/>
      <c r="J1091" s="11" t="str">
        <f t="shared" si="82"/>
        <v/>
      </c>
      <c r="K1091" s="17" t="str">
        <f t="shared" si="83"/>
        <v/>
      </c>
      <c r="L1091" s="18" t="str">
        <f t="shared" si="84"/>
        <v/>
      </c>
      <c r="M1091" s="18" t="str">
        <f>IF(J1091&lt;&gt;-1,"",ROUND(F1091*IFERROR(INDEX(Stocuri!$G$5:$G$204,MATCH(D1091,Coduri,0)),0),2))</f>
        <v/>
      </c>
      <c r="N1091" s="19" t="str">
        <f t="shared" si="85"/>
        <v/>
      </c>
    </row>
    <row r="1092" spans="2:14" x14ac:dyDescent="0.2">
      <c r="B1092" s="15"/>
      <c r="C1092" s="6"/>
      <c r="D1092" s="12"/>
      <c r="E1092" s="10" t="str">
        <f t="shared" si="81"/>
        <v/>
      </c>
      <c r="F1092" s="16"/>
      <c r="G1092" s="13"/>
      <c r="H1092" s="6"/>
      <c r="I1092" s="6"/>
      <c r="J1092" s="11" t="str">
        <f t="shared" si="82"/>
        <v/>
      </c>
      <c r="K1092" s="17" t="str">
        <f t="shared" si="83"/>
        <v/>
      </c>
      <c r="L1092" s="18" t="str">
        <f t="shared" si="84"/>
        <v/>
      </c>
      <c r="M1092" s="18" t="str">
        <f>IF(J1092&lt;&gt;-1,"",ROUND(F1092*IFERROR(INDEX(Stocuri!$G$5:$G$204,MATCH(D1092,Coduri,0)),0),2))</f>
        <v/>
      </c>
      <c r="N1092" s="19" t="str">
        <f t="shared" si="85"/>
        <v/>
      </c>
    </row>
    <row r="1093" spans="2:14" x14ac:dyDescent="0.2">
      <c r="B1093" s="15"/>
      <c r="C1093" s="6"/>
      <c r="D1093" s="12"/>
      <c r="E1093" s="10" t="str">
        <f t="shared" ref="E1093:E1156" si="86">IF(D1093="","",IFERROR(VLOOKUP(D1093,Catalog,2,FALSE),""))</f>
        <v/>
      </c>
      <c r="F1093" s="16"/>
      <c r="G1093" s="13"/>
      <c r="H1093" s="6"/>
      <c r="I1093" s="6"/>
      <c r="J1093" s="11" t="str">
        <f t="shared" ref="J1093:J1156" si="87">IF(C1093="","",IFERROR(VLOOKUP(C1093,TipSemn,2,FALSE),""))</f>
        <v/>
      </c>
      <c r="K1093" s="17" t="str">
        <f t="shared" ref="K1093:K1156" si="88">IF(OR(J1093="",F1093=""),"",J1093*F1093)</f>
        <v/>
      </c>
      <c r="L1093" s="18" t="str">
        <f t="shared" ref="L1093:L1156" si="89">IF(OR(J1093&lt;&gt;1,G1093=""),"",ROUND(F1093*G1093,2))</f>
        <v/>
      </c>
      <c r="M1093" s="18" t="str">
        <f>IF(J1093&lt;&gt;-1,"",ROUND(F1093*IFERROR(INDEX(Stocuri!$G$5:$G$204,MATCH(D1093,Coduri,0)),0),2))</f>
        <v/>
      </c>
      <c r="N1093" s="19" t="str">
        <f t="shared" ref="N1093:N1156" si="90">IF(AND(B1093="",D1093=""),"",TRIM(IF(OR(B1093="",C1093="",D1093="",F1093=""),"Date incomplete. ","")&amp;IF(AND(D1093&lt;&gt;"",E1093=""),"Cod necunoscut. ","")&amp;IF(AND(J1093=1,C1093&lt;&gt;"Retur de la client",C1093&lt;&gt;"Ajustare inventar +",G1093=""),"Lipsește prețul de intrare. ","")&amp;IF(AND(J1093=-1,D1093&lt;&gt;"",SUMIFS($K$5:$K$2004,$D$5:$D$2004,D1093,$B$5:$B$2004,"&lt;="&amp;B1093)&lt;0),"Stoc insuficient la această dată. ","")&amp;IF(AND(C1093&lt;&gt;"Stoc inițial",H1093=""),"Lipsește documentul. ","")))</f>
        <v/>
      </c>
    </row>
    <row r="1094" spans="2:14" x14ac:dyDescent="0.2">
      <c r="B1094" s="15"/>
      <c r="C1094" s="6"/>
      <c r="D1094" s="12"/>
      <c r="E1094" s="10" t="str">
        <f t="shared" si="86"/>
        <v/>
      </c>
      <c r="F1094" s="16"/>
      <c r="G1094" s="13"/>
      <c r="H1094" s="6"/>
      <c r="I1094" s="6"/>
      <c r="J1094" s="11" t="str">
        <f t="shared" si="87"/>
        <v/>
      </c>
      <c r="K1094" s="17" t="str">
        <f t="shared" si="88"/>
        <v/>
      </c>
      <c r="L1094" s="18" t="str">
        <f t="shared" si="89"/>
        <v/>
      </c>
      <c r="M1094" s="18" t="str">
        <f>IF(J1094&lt;&gt;-1,"",ROUND(F1094*IFERROR(INDEX(Stocuri!$G$5:$G$204,MATCH(D1094,Coduri,0)),0),2))</f>
        <v/>
      </c>
      <c r="N1094" s="19" t="str">
        <f t="shared" si="90"/>
        <v/>
      </c>
    </row>
    <row r="1095" spans="2:14" x14ac:dyDescent="0.2">
      <c r="B1095" s="15"/>
      <c r="C1095" s="6"/>
      <c r="D1095" s="12"/>
      <c r="E1095" s="10" t="str">
        <f t="shared" si="86"/>
        <v/>
      </c>
      <c r="F1095" s="16"/>
      <c r="G1095" s="13"/>
      <c r="H1095" s="6"/>
      <c r="I1095" s="6"/>
      <c r="J1095" s="11" t="str">
        <f t="shared" si="87"/>
        <v/>
      </c>
      <c r="K1095" s="17" t="str">
        <f t="shared" si="88"/>
        <v/>
      </c>
      <c r="L1095" s="18" t="str">
        <f t="shared" si="89"/>
        <v/>
      </c>
      <c r="M1095" s="18" t="str">
        <f>IF(J1095&lt;&gt;-1,"",ROUND(F1095*IFERROR(INDEX(Stocuri!$G$5:$G$204,MATCH(D1095,Coduri,0)),0),2))</f>
        <v/>
      </c>
      <c r="N1095" s="19" t="str">
        <f t="shared" si="90"/>
        <v/>
      </c>
    </row>
    <row r="1096" spans="2:14" x14ac:dyDescent="0.2">
      <c r="B1096" s="15"/>
      <c r="C1096" s="6"/>
      <c r="D1096" s="12"/>
      <c r="E1096" s="10" t="str">
        <f t="shared" si="86"/>
        <v/>
      </c>
      <c r="F1096" s="16"/>
      <c r="G1096" s="13"/>
      <c r="H1096" s="6"/>
      <c r="I1096" s="6"/>
      <c r="J1096" s="11" t="str">
        <f t="shared" si="87"/>
        <v/>
      </c>
      <c r="K1096" s="17" t="str">
        <f t="shared" si="88"/>
        <v/>
      </c>
      <c r="L1096" s="18" t="str">
        <f t="shared" si="89"/>
        <v/>
      </c>
      <c r="M1096" s="18" t="str">
        <f>IF(J1096&lt;&gt;-1,"",ROUND(F1096*IFERROR(INDEX(Stocuri!$G$5:$G$204,MATCH(D1096,Coduri,0)),0),2))</f>
        <v/>
      </c>
      <c r="N1096" s="19" t="str">
        <f t="shared" si="90"/>
        <v/>
      </c>
    </row>
    <row r="1097" spans="2:14" x14ac:dyDescent="0.2">
      <c r="B1097" s="15"/>
      <c r="C1097" s="6"/>
      <c r="D1097" s="12"/>
      <c r="E1097" s="10" t="str">
        <f t="shared" si="86"/>
        <v/>
      </c>
      <c r="F1097" s="16"/>
      <c r="G1097" s="13"/>
      <c r="H1097" s="6"/>
      <c r="I1097" s="6"/>
      <c r="J1097" s="11" t="str">
        <f t="shared" si="87"/>
        <v/>
      </c>
      <c r="K1097" s="17" t="str">
        <f t="shared" si="88"/>
        <v/>
      </c>
      <c r="L1097" s="18" t="str">
        <f t="shared" si="89"/>
        <v/>
      </c>
      <c r="M1097" s="18" t="str">
        <f>IF(J1097&lt;&gt;-1,"",ROUND(F1097*IFERROR(INDEX(Stocuri!$G$5:$G$204,MATCH(D1097,Coduri,0)),0),2))</f>
        <v/>
      </c>
      <c r="N1097" s="19" t="str">
        <f t="shared" si="90"/>
        <v/>
      </c>
    </row>
    <row r="1098" spans="2:14" x14ac:dyDescent="0.2">
      <c r="B1098" s="15"/>
      <c r="C1098" s="6"/>
      <c r="D1098" s="12"/>
      <c r="E1098" s="10" t="str">
        <f t="shared" si="86"/>
        <v/>
      </c>
      <c r="F1098" s="16"/>
      <c r="G1098" s="13"/>
      <c r="H1098" s="6"/>
      <c r="I1098" s="6"/>
      <c r="J1098" s="11" t="str">
        <f t="shared" si="87"/>
        <v/>
      </c>
      <c r="K1098" s="17" t="str">
        <f t="shared" si="88"/>
        <v/>
      </c>
      <c r="L1098" s="18" t="str">
        <f t="shared" si="89"/>
        <v/>
      </c>
      <c r="M1098" s="18" t="str">
        <f>IF(J1098&lt;&gt;-1,"",ROUND(F1098*IFERROR(INDEX(Stocuri!$G$5:$G$204,MATCH(D1098,Coduri,0)),0),2))</f>
        <v/>
      </c>
      <c r="N1098" s="19" t="str">
        <f t="shared" si="90"/>
        <v/>
      </c>
    </row>
    <row r="1099" spans="2:14" x14ac:dyDescent="0.2">
      <c r="B1099" s="15"/>
      <c r="C1099" s="6"/>
      <c r="D1099" s="12"/>
      <c r="E1099" s="10" t="str">
        <f t="shared" si="86"/>
        <v/>
      </c>
      <c r="F1099" s="16"/>
      <c r="G1099" s="13"/>
      <c r="H1099" s="6"/>
      <c r="I1099" s="6"/>
      <c r="J1099" s="11" t="str">
        <f t="shared" si="87"/>
        <v/>
      </c>
      <c r="K1099" s="17" t="str">
        <f t="shared" si="88"/>
        <v/>
      </c>
      <c r="L1099" s="18" t="str">
        <f t="shared" si="89"/>
        <v/>
      </c>
      <c r="M1099" s="18" t="str">
        <f>IF(J1099&lt;&gt;-1,"",ROUND(F1099*IFERROR(INDEX(Stocuri!$G$5:$G$204,MATCH(D1099,Coduri,0)),0),2))</f>
        <v/>
      </c>
      <c r="N1099" s="19" t="str">
        <f t="shared" si="90"/>
        <v/>
      </c>
    </row>
    <row r="1100" spans="2:14" x14ac:dyDescent="0.2">
      <c r="B1100" s="15"/>
      <c r="C1100" s="6"/>
      <c r="D1100" s="12"/>
      <c r="E1100" s="10" t="str">
        <f t="shared" si="86"/>
        <v/>
      </c>
      <c r="F1100" s="16"/>
      <c r="G1100" s="13"/>
      <c r="H1100" s="6"/>
      <c r="I1100" s="6"/>
      <c r="J1100" s="11" t="str">
        <f t="shared" si="87"/>
        <v/>
      </c>
      <c r="K1100" s="17" t="str">
        <f t="shared" si="88"/>
        <v/>
      </c>
      <c r="L1100" s="18" t="str">
        <f t="shared" si="89"/>
        <v/>
      </c>
      <c r="M1100" s="18" t="str">
        <f>IF(J1100&lt;&gt;-1,"",ROUND(F1100*IFERROR(INDEX(Stocuri!$G$5:$G$204,MATCH(D1100,Coduri,0)),0),2))</f>
        <v/>
      </c>
      <c r="N1100" s="19" t="str">
        <f t="shared" si="90"/>
        <v/>
      </c>
    </row>
    <row r="1101" spans="2:14" x14ac:dyDescent="0.2">
      <c r="B1101" s="15"/>
      <c r="C1101" s="6"/>
      <c r="D1101" s="12"/>
      <c r="E1101" s="10" t="str">
        <f t="shared" si="86"/>
        <v/>
      </c>
      <c r="F1101" s="16"/>
      <c r="G1101" s="13"/>
      <c r="H1101" s="6"/>
      <c r="I1101" s="6"/>
      <c r="J1101" s="11" t="str">
        <f t="shared" si="87"/>
        <v/>
      </c>
      <c r="K1101" s="17" t="str">
        <f t="shared" si="88"/>
        <v/>
      </c>
      <c r="L1101" s="18" t="str">
        <f t="shared" si="89"/>
        <v/>
      </c>
      <c r="M1101" s="18" t="str">
        <f>IF(J1101&lt;&gt;-1,"",ROUND(F1101*IFERROR(INDEX(Stocuri!$G$5:$G$204,MATCH(D1101,Coduri,0)),0),2))</f>
        <v/>
      </c>
      <c r="N1101" s="19" t="str">
        <f t="shared" si="90"/>
        <v/>
      </c>
    </row>
    <row r="1102" spans="2:14" x14ac:dyDescent="0.2">
      <c r="B1102" s="15"/>
      <c r="C1102" s="6"/>
      <c r="D1102" s="12"/>
      <c r="E1102" s="10" t="str">
        <f t="shared" si="86"/>
        <v/>
      </c>
      <c r="F1102" s="16"/>
      <c r="G1102" s="13"/>
      <c r="H1102" s="6"/>
      <c r="I1102" s="6"/>
      <c r="J1102" s="11" t="str">
        <f t="shared" si="87"/>
        <v/>
      </c>
      <c r="K1102" s="17" t="str">
        <f t="shared" si="88"/>
        <v/>
      </c>
      <c r="L1102" s="18" t="str">
        <f t="shared" si="89"/>
        <v/>
      </c>
      <c r="M1102" s="18" t="str">
        <f>IF(J1102&lt;&gt;-1,"",ROUND(F1102*IFERROR(INDEX(Stocuri!$G$5:$G$204,MATCH(D1102,Coduri,0)),0),2))</f>
        <v/>
      </c>
      <c r="N1102" s="19" t="str">
        <f t="shared" si="90"/>
        <v/>
      </c>
    </row>
    <row r="1103" spans="2:14" x14ac:dyDescent="0.2">
      <c r="B1103" s="15"/>
      <c r="C1103" s="6"/>
      <c r="D1103" s="12"/>
      <c r="E1103" s="10" t="str">
        <f t="shared" si="86"/>
        <v/>
      </c>
      <c r="F1103" s="16"/>
      <c r="G1103" s="13"/>
      <c r="H1103" s="6"/>
      <c r="I1103" s="6"/>
      <c r="J1103" s="11" t="str">
        <f t="shared" si="87"/>
        <v/>
      </c>
      <c r="K1103" s="17" t="str">
        <f t="shared" si="88"/>
        <v/>
      </c>
      <c r="L1103" s="18" t="str">
        <f t="shared" si="89"/>
        <v/>
      </c>
      <c r="M1103" s="18" t="str">
        <f>IF(J1103&lt;&gt;-1,"",ROUND(F1103*IFERROR(INDEX(Stocuri!$G$5:$G$204,MATCH(D1103,Coduri,0)),0),2))</f>
        <v/>
      </c>
      <c r="N1103" s="19" t="str">
        <f t="shared" si="90"/>
        <v/>
      </c>
    </row>
    <row r="1104" spans="2:14" x14ac:dyDescent="0.2">
      <c r="B1104" s="15"/>
      <c r="C1104" s="6"/>
      <c r="D1104" s="12"/>
      <c r="E1104" s="10" t="str">
        <f t="shared" si="86"/>
        <v/>
      </c>
      <c r="F1104" s="16"/>
      <c r="G1104" s="13"/>
      <c r="H1104" s="6"/>
      <c r="I1104" s="6"/>
      <c r="J1104" s="11" t="str">
        <f t="shared" si="87"/>
        <v/>
      </c>
      <c r="K1104" s="17" t="str">
        <f t="shared" si="88"/>
        <v/>
      </c>
      <c r="L1104" s="18" t="str">
        <f t="shared" si="89"/>
        <v/>
      </c>
      <c r="M1104" s="18" t="str">
        <f>IF(J1104&lt;&gt;-1,"",ROUND(F1104*IFERROR(INDEX(Stocuri!$G$5:$G$204,MATCH(D1104,Coduri,0)),0),2))</f>
        <v/>
      </c>
      <c r="N1104" s="19" t="str">
        <f t="shared" si="90"/>
        <v/>
      </c>
    </row>
    <row r="1105" spans="2:14" x14ac:dyDescent="0.2">
      <c r="B1105" s="15"/>
      <c r="C1105" s="6"/>
      <c r="D1105" s="12"/>
      <c r="E1105" s="10" t="str">
        <f t="shared" si="86"/>
        <v/>
      </c>
      <c r="F1105" s="16"/>
      <c r="G1105" s="13"/>
      <c r="H1105" s="6"/>
      <c r="I1105" s="6"/>
      <c r="J1105" s="11" t="str">
        <f t="shared" si="87"/>
        <v/>
      </c>
      <c r="K1105" s="17" t="str">
        <f t="shared" si="88"/>
        <v/>
      </c>
      <c r="L1105" s="18" t="str">
        <f t="shared" si="89"/>
        <v/>
      </c>
      <c r="M1105" s="18" t="str">
        <f>IF(J1105&lt;&gt;-1,"",ROUND(F1105*IFERROR(INDEX(Stocuri!$G$5:$G$204,MATCH(D1105,Coduri,0)),0),2))</f>
        <v/>
      </c>
      <c r="N1105" s="19" t="str">
        <f t="shared" si="90"/>
        <v/>
      </c>
    </row>
    <row r="1106" spans="2:14" x14ac:dyDescent="0.2">
      <c r="B1106" s="15"/>
      <c r="C1106" s="6"/>
      <c r="D1106" s="12"/>
      <c r="E1106" s="10" t="str">
        <f t="shared" si="86"/>
        <v/>
      </c>
      <c r="F1106" s="16"/>
      <c r="G1106" s="13"/>
      <c r="H1106" s="6"/>
      <c r="I1106" s="6"/>
      <c r="J1106" s="11" t="str">
        <f t="shared" si="87"/>
        <v/>
      </c>
      <c r="K1106" s="17" t="str">
        <f t="shared" si="88"/>
        <v/>
      </c>
      <c r="L1106" s="18" t="str">
        <f t="shared" si="89"/>
        <v/>
      </c>
      <c r="M1106" s="18" t="str">
        <f>IF(J1106&lt;&gt;-1,"",ROUND(F1106*IFERROR(INDEX(Stocuri!$G$5:$G$204,MATCH(D1106,Coduri,0)),0),2))</f>
        <v/>
      </c>
      <c r="N1106" s="19" t="str">
        <f t="shared" si="90"/>
        <v/>
      </c>
    </row>
    <row r="1107" spans="2:14" x14ac:dyDescent="0.2">
      <c r="B1107" s="15"/>
      <c r="C1107" s="6"/>
      <c r="D1107" s="12"/>
      <c r="E1107" s="10" t="str">
        <f t="shared" si="86"/>
        <v/>
      </c>
      <c r="F1107" s="16"/>
      <c r="G1107" s="13"/>
      <c r="H1107" s="6"/>
      <c r="I1107" s="6"/>
      <c r="J1107" s="11" t="str">
        <f t="shared" si="87"/>
        <v/>
      </c>
      <c r="K1107" s="17" t="str">
        <f t="shared" si="88"/>
        <v/>
      </c>
      <c r="L1107" s="18" t="str">
        <f t="shared" si="89"/>
        <v/>
      </c>
      <c r="M1107" s="18" t="str">
        <f>IF(J1107&lt;&gt;-1,"",ROUND(F1107*IFERROR(INDEX(Stocuri!$G$5:$G$204,MATCH(D1107,Coduri,0)),0),2))</f>
        <v/>
      </c>
      <c r="N1107" s="19" t="str">
        <f t="shared" si="90"/>
        <v/>
      </c>
    </row>
    <row r="1108" spans="2:14" x14ac:dyDescent="0.2">
      <c r="B1108" s="15"/>
      <c r="C1108" s="6"/>
      <c r="D1108" s="12"/>
      <c r="E1108" s="10" t="str">
        <f t="shared" si="86"/>
        <v/>
      </c>
      <c r="F1108" s="16"/>
      <c r="G1108" s="13"/>
      <c r="H1108" s="6"/>
      <c r="I1108" s="6"/>
      <c r="J1108" s="11" t="str">
        <f t="shared" si="87"/>
        <v/>
      </c>
      <c r="K1108" s="17" t="str">
        <f t="shared" si="88"/>
        <v/>
      </c>
      <c r="L1108" s="18" t="str">
        <f t="shared" si="89"/>
        <v/>
      </c>
      <c r="M1108" s="18" t="str">
        <f>IF(J1108&lt;&gt;-1,"",ROUND(F1108*IFERROR(INDEX(Stocuri!$G$5:$G$204,MATCH(D1108,Coduri,0)),0),2))</f>
        <v/>
      </c>
      <c r="N1108" s="19" t="str">
        <f t="shared" si="90"/>
        <v/>
      </c>
    </row>
    <row r="1109" spans="2:14" x14ac:dyDescent="0.2">
      <c r="B1109" s="15"/>
      <c r="C1109" s="6"/>
      <c r="D1109" s="12"/>
      <c r="E1109" s="10" t="str">
        <f t="shared" si="86"/>
        <v/>
      </c>
      <c r="F1109" s="16"/>
      <c r="G1109" s="13"/>
      <c r="H1109" s="6"/>
      <c r="I1109" s="6"/>
      <c r="J1109" s="11" t="str">
        <f t="shared" si="87"/>
        <v/>
      </c>
      <c r="K1109" s="17" t="str">
        <f t="shared" si="88"/>
        <v/>
      </c>
      <c r="L1109" s="18" t="str">
        <f t="shared" si="89"/>
        <v/>
      </c>
      <c r="M1109" s="18" t="str">
        <f>IF(J1109&lt;&gt;-1,"",ROUND(F1109*IFERROR(INDEX(Stocuri!$G$5:$G$204,MATCH(D1109,Coduri,0)),0),2))</f>
        <v/>
      </c>
      <c r="N1109" s="19" t="str">
        <f t="shared" si="90"/>
        <v/>
      </c>
    </row>
    <row r="1110" spans="2:14" x14ac:dyDescent="0.2">
      <c r="B1110" s="15"/>
      <c r="C1110" s="6"/>
      <c r="D1110" s="12"/>
      <c r="E1110" s="10" t="str">
        <f t="shared" si="86"/>
        <v/>
      </c>
      <c r="F1110" s="16"/>
      <c r="G1110" s="13"/>
      <c r="H1110" s="6"/>
      <c r="I1110" s="6"/>
      <c r="J1110" s="11" t="str">
        <f t="shared" si="87"/>
        <v/>
      </c>
      <c r="K1110" s="17" t="str">
        <f t="shared" si="88"/>
        <v/>
      </c>
      <c r="L1110" s="18" t="str">
        <f t="shared" si="89"/>
        <v/>
      </c>
      <c r="M1110" s="18" t="str">
        <f>IF(J1110&lt;&gt;-1,"",ROUND(F1110*IFERROR(INDEX(Stocuri!$G$5:$G$204,MATCH(D1110,Coduri,0)),0),2))</f>
        <v/>
      </c>
      <c r="N1110" s="19" t="str">
        <f t="shared" si="90"/>
        <v/>
      </c>
    </row>
    <row r="1111" spans="2:14" x14ac:dyDescent="0.2">
      <c r="B1111" s="15"/>
      <c r="C1111" s="6"/>
      <c r="D1111" s="12"/>
      <c r="E1111" s="10" t="str">
        <f t="shared" si="86"/>
        <v/>
      </c>
      <c r="F1111" s="16"/>
      <c r="G1111" s="13"/>
      <c r="H1111" s="6"/>
      <c r="I1111" s="6"/>
      <c r="J1111" s="11" t="str">
        <f t="shared" si="87"/>
        <v/>
      </c>
      <c r="K1111" s="17" t="str">
        <f t="shared" si="88"/>
        <v/>
      </c>
      <c r="L1111" s="18" t="str">
        <f t="shared" si="89"/>
        <v/>
      </c>
      <c r="M1111" s="18" t="str">
        <f>IF(J1111&lt;&gt;-1,"",ROUND(F1111*IFERROR(INDEX(Stocuri!$G$5:$G$204,MATCH(D1111,Coduri,0)),0),2))</f>
        <v/>
      </c>
      <c r="N1111" s="19" t="str">
        <f t="shared" si="90"/>
        <v/>
      </c>
    </row>
    <row r="1112" spans="2:14" x14ac:dyDescent="0.2">
      <c r="B1112" s="15"/>
      <c r="C1112" s="6"/>
      <c r="D1112" s="12"/>
      <c r="E1112" s="10" t="str">
        <f t="shared" si="86"/>
        <v/>
      </c>
      <c r="F1112" s="16"/>
      <c r="G1112" s="13"/>
      <c r="H1112" s="6"/>
      <c r="I1112" s="6"/>
      <c r="J1112" s="11" t="str">
        <f t="shared" si="87"/>
        <v/>
      </c>
      <c r="K1112" s="17" t="str">
        <f t="shared" si="88"/>
        <v/>
      </c>
      <c r="L1112" s="18" t="str">
        <f t="shared" si="89"/>
        <v/>
      </c>
      <c r="M1112" s="18" t="str">
        <f>IF(J1112&lt;&gt;-1,"",ROUND(F1112*IFERROR(INDEX(Stocuri!$G$5:$G$204,MATCH(D1112,Coduri,0)),0),2))</f>
        <v/>
      </c>
      <c r="N1112" s="19" t="str">
        <f t="shared" si="90"/>
        <v/>
      </c>
    </row>
    <row r="1113" spans="2:14" x14ac:dyDescent="0.2">
      <c r="B1113" s="15"/>
      <c r="C1113" s="6"/>
      <c r="D1113" s="12"/>
      <c r="E1113" s="10" t="str">
        <f t="shared" si="86"/>
        <v/>
      </c>
      <c r="F1113" s="16"/>
      <c r="G1113" s="13"/>
      <c r="H1113" s="6"/>
      <c r="I1113" s="6"/>
      <c r="J1113" s="11" t="str">
        <f t="shared" si="87"/>
        <v/>
      </c>
      <c r="K1113" s="17" t="str">
        <f t="shared" si="88"/>
        <v/>
      </c>
      <c r="L1113" s="18" t="str">
        <f t="shared" si="89"/>
        <v/>
      </c>
      <c r="M1113" s="18" t="str">
        <f>IF(J1113&lt;&gt;-1,"",ROUND(F1113*IFERROR(INDEX(Stocuri!$G$5:$G$204,MATCH(D1113,Coduri,0)),0),2))</f>
        <v/>
      </c>
      <c r="N1113" s="19" t="str">
        <f t="shared" si="90"/>
        <v/>
      </c>
    </row>
    <row r="1114" spans="2:14" x14ac:dyDescent="0.2">
      <c r="B1114" s="15"/>
      <c r="C1114" s="6"/>
      <c r="D1114" s="12"/>
      <c r="E1114" s="10" t="str">
        <f t="shared" si="86"/>
        <v/>
      </c>
      <c r="F1114" s="16"/>
      <c r="G1114" s="13"/>
      <c r="H1114" s="6"/>
      <c r="I1114" s="6"/>
      <c r="J1114" s="11" t="str">
        <f t="shared" si="87"/>
        <v/>
      </c>
      <c r="K1114" s="17" t="str">
        <f t="shared" si="88"/>
        <v/>
      </c>
      <c r="L1114" s="18" t="str">
        <f t="shared" si="89"/>
        <v/>
      </c>
      <c r="M1114" s="18" t="str">
        <f>IF(J1114&lt;&gt;-1,"",ROUND(F1114*IFERROR(INDEX(Stocuri!$G$5:$G$204,MATCH(D1114,Coduri,0)),0),2))</f>
        <v/>
      </c>
      <c r="N1114" s="19" t="str">
        <f t="shared" si="90"/>
        <v/>
      </c>
    </row>
    <row r="1115" spans="2:14" x14ac:dyDescent="0.2">
      <c r="B1115" s="15"/>
      <c r="C1115" s="6"/>
      <c r="D1115" s="12"/>
      <c r="E1115" s="10" t="str">
        <f t="shared" si="86"/>
        <v/>
      </c>
      <c r="F1115" s="16"/>
      <c r="G1115" s="13"/>
      <c r="H1115" s="6"/>
      <c r="I1115" s="6"/>
      <c r="J1115" s="11" t="str">
        <f t="shared" si="87"/>
        <v/>
      </c>
      <c r="K1115" s="17" t="str">
        <f t="shared" si="88"/>
        <v/>
      </c>
      <c r="L1115" s="18" t="str">
        <f t="shared" si="89"/>
        <v/>
      </c>
      <c r="M1115" s="18" t="str">
        <f>IF(J1115&lt;&gt;-1,"",ROUND(F1115*IFERROR(INDEX(Stocuri!$G$5:$G$204,MATCH(D1115,Coduri,0)),0),2))</f>
        <v/>
      </c>
      <c r="N1115" s="19" t="str">
        <f t="shared" si="90"/>
        <v/>
      </c>
    </row>
    <row r="1116" spans="2:14" x14ac:dyDescent="0.2">
      <c r="B1116" s="15"/>
      <c r="C1116" s="6"/>
      <c r="D1116" s="12"/>
      <c r="E1116" s="10" t="str">
        <f t="shared" si="86"/>
        <v/>
      </c>
      <c r="F1116" s="16"/>
      <c r="G1116" s="13"/>
      <c r="H1116" s="6"/>
      <c r="I1116" s="6"/>
      <c r="J1116" s="11" t="str">
        <f t="shared" si="87"/>
        <v/>
      </c>
      <c r="K1116" s="17" t="str">
        <f t="shared" si="88"/>
        <v/>
      </c>
      <c r="L1116" s="18" t="str">
        <f t="shared" si="89"/>
        <v/>
      </c>
      <c r="M1116" s="18" t="str">
        <f>IF(J1116&lt;&gt;-1,"",ROUND(F1116*IFERROR(INDEX(Stocuri!$G$5:$G$204,MATCH(D1116,Coduri,0)),0),2))</f>
        <v/>
      </c>
      <c r="N1116" s="19" t="str">
        <f t="shared" si="90"/>
        <v/>
      </c>
    </row>
    <row r="1117" spans="2:14" x14ac:dyDescent="0.2">
      <c r="B1117" s="15"/>
      <c r="C1117" s="6"/>
      <c r="D1117" s="12"/>
      <c r="E1117" s="10" t="str">
        <f t="shared" si="86"/>
        <v/>
      </c>
      <c r="F1117" s="16"/>
      <c r="G1117" s="13"/>
      <c r="H1117" s="6"/>
      <c r="I1117" s="6"/>
      <c r="J1117" s="11" t="str">
        <f t="shared" si="87"/>
        <v/>
      </c>
      <c r="K1117" s="17" t="str">
        <f t="shared" si="88"/>
        <v/>
      </c>
      <c r="L1117" s="18" t="str">
        <f t="shared" si="89"/>
        <v/>
      </c>
      <c r="M1117" s="18" t="str">
        <f>IF(J1117&lt;&gt;-1,"",ROUND(F1117*IFERROR(INDEX(Stocuri!$G$5:$G$204,MATCH(D1117,Coduri,0)),0),2))</f>
        <v/>
      </c>
      <c r="N1117" s="19" t="str">
        <f t="shared" si="90"/>
        <v/>
      </c>
    </row>
    <row r="1118" spans="2:14" x14ac:dyDescent="0.2">
      <c r="B1118" s="15"/>
      <c r="C1118" s="6"/>
      <c r="D1118" s="12"/>
      <c r="E1118" s="10" t="str">
        <f t="shared" si="86"/>
        <v/>
      </c>
      <c r="F1118" s="16"/>
      <c r="G1118" s="13"/>
      <c r="H1118" s="6"/>
      <c r="I1118" s="6"/>
      <c r="J1118" s="11" t="str">
        <f t="shared" si="87"/>
        <v/>
      </c>
      <c r="K1118" s="17" t="str">
        <f t="shared" si="88"/>
        <v/>
      </c>
      <c r="L1118" s="18" t="str">
        <f t="shared" si="89"/>
        <v/>
      </c>
      <c r="M1118" s="18" t="str">
        <f>IF(J1118&lt;&gt;-1,"",ROUND(F1118*IFERROR(INDEX(Stocuri!$G$5:$G$204,MATCH(D1118,Coduri,0)),0),2))</f>
        <v/>
      </c>
      <c r="N1118" s="19" t="str">
        <f t="shared" si="90"/>
        <v/>
      </c>
    </row>
    <row r="1119" spans="2:14" x14ac:dyDescent="0.2">
      <c r="B1119" s="15"/>
      <c r="C1119" s="6"/>
      <c r="D1119" s="12"/>
      <c r="E1119" s="10" t="str">
        <f t="shared" si="86"/>
        <v/>
      </c>
      <c r="F1119" s="16"/>
      <c r="G1119" s="13"/>
      <c r="H1119" s="6"/>
      <c r="I1119" s="6"/>
      <c r="J1119" s="11" t="str">
        <f t="shared" si="87"/>
        <v/>
      </c>
      <c r="K1119" s="17" t="str">
        <f t="shared" si="88"/>
        <v/>
      </c>
      <c r="L1119" s="18" t="str">
        <f t="shared" si="89"/>
        <v/>
      </c>
      <c r="M1119" s="18" t="str">
        <f>IF(J1119&lt;&gt;-1,"",ROUND(F1119*IFERROR(INDEX(Stocuri!$G$5:$G$204,MATCH(D1119,Coduri,0)),0),2))</f>
        <v/>
      </c>
      <c r="N1119" s="19" t="str">
        <f t="shared" si="90"/>
        <v/>
      </c>
    </row>
    <row r="1120" spans="2:14" x14ac:dyDescent="0.2">
      <c r="B1120" s="15"/>
      <c r="C1120" s="6"/>
      <c r="D1120" s="12"/>
      <c r="E1120" s="10" t="str">
        <f t="shared" si="86"/>
        <v/>
      </c>
      <c r="F1120" s="16"/>
      <c r="G1120" s="13"/>
      <c r="H1120" s="6"/>
      <c r="I1120" s="6"/>
      <c r="J1120" s="11" t="str">
        <f t="shared" si="87"/>
        <v/>
      </c>
      <c r="K1120" s="17" t="str">
        <f t="shared" si="88"/>
        <v/>
      </c>
      <c r="L1120" s="18" t="str">
        <f t="shared" si="89"/>
        <v/>
      </c>
      <c r="M1120" s="18" t="str">
        <f>IF(J1120&lt;&gt;-1,"",ROUND(F1120*IFERROR(INDEX(Stocuri!$G$5:$G$204,MATCH(D1120,Coduri,0)),0),2))</f>
        <v/>
      </c>
      <c r="N1120" s="19" t="str">
        <f t="shared" si="90"/>
        <v/>
      </c>
    </row>
    <row r="1121" spans="2:14" x14ac:dyDescent="0.2">
      <c r="B1121" s="15"/>
      <c r="C1121" s="6"/>
      <c r="D1121" s="12"/>
      <c r="E1121" s="10" t="str">
        <f t="shared" si="86"/>
        <v/>
      </c>
      <c r="F1121" s="16"/>
      <c r="G1121" s="13"/>
      <c r="H1121" s="6"/>
      <c r="I1121" s="6"/>
      <c r="J1121" s="11" t="str">
        <f t="shared" si="87"/>
        <v/>
      </c>
      <c r="K1121" s="17" t="str">
        <f t="shared" si="88"/>
        <v/>
      </c>
      <c r="L1121" s="18" t="str">
        <f t="shared" si="89"/>
        <v/>
      </c>
      <c r="M1121" s="18" t="str">
        <f>IF(J1121&lt;&gt;-1,"",ROUND(F1121*IFERROR(INDEX(Stocuri!$G$5:$G$204,MATCH(D1121,Coduri,0)),0),2))</f>
        <v/>
      </c>
      <c r="N1121" s="19" t="str">
        <f t="shared" si="90"/>
        <v/>
      </c>
    </row>
    <row r="1122" spans="2:14" x14ac:dyDescent="0.2">
      <c r="B1122" s="15"/>
      <c r="C1122" s="6"/>
      <c r="D1122" s="12"/>
      <c r="E1122" s="10" t="str">
        <f t="shared" si="86"/>
        <v/>
      </c>
      <c r="F1122" s="16"/>
      <c r="G1122" s="13"/>
      <c r="H1122" s="6"/>
      <c r="I1122" s="6"/>
      <c r="J1122" s="11" t="str">
        <f t="shared" si="87"/>
        <v/>
      </c>
      <c r="K1122" s="17" t="str">
        <f t="shared" si="88"/>
        <v/>
      </c>
      <c r="L1122" s="18" t="str">
        <f t="shared" si="89"/>
        <v/>
      </c>
      <c r="M1122" s="18" t="str">
        <f>IF(J1122&lt;&gt;-1,"",ROUND(F1122*IFERROR(INDEX(Stocuri!$G$5:$G$204,MATCH(D1122,Coduri,0)),0),2))</f>
        <v/>
      </c>
      <c r="N1122" s="19" t="str">
        <f t="shared" si="90"/>
        <v/>
      </c>
    </row>
    <row r="1123" spans="2:14" x14ac:dyDescent="0.2">
      <c r="B1123" s="15"/>
      <c r="C1123" s="6"/>
      <c r="D1123" s="12"/>
      <c r="E1123" s="10" t="str">
        <f t="shared" si="86"/>
        <v/>
      </c>
      <c r="F1123" s="16"/>
      <c r="G1123" s="13"/>
      <c r="H1123" s="6"/>
      <c r="I1123" s="6"/>
      <c r="J1123" s="11" t="str">
        <f t="shared" si="87"/>
        <v/>
      </c>
      <c r="K1123" s="17" t="str">
        <f t="shared" si="88"/>
        <v/>
      </c>
      <c r="L1123" s="18" t="str">
        <f t="shared" si="89"/>
        <v/>
      </c>
      <c r="M1123" s="18" t="str">
        <f>IF(J1123&lt;&gt;-1,"",ROUND(F1123*IFERROR(INDEX(Stocuri!$G$5:$G$204,MATCH(D1123,Coduri,0)),0),2))</f>
        <v/>
      </c>
      <c r="N1123" s="19" t="str">
        <f t="shared" si="90"/>
        <v/>
      </c>
    </row>
    <row r="1124" spans="2:14" x14ac:dyDescent="0.2">
      <c r="B1124" s="15"/>
      <c r="C1124" s="6"/>
      <c r="D1124" s="12"/>
      <c r="E1124" s="10" t="str">
        <f t="shared" si="86"/>
        <v/>
      </c>
      <c r="F1124" s="16"/>
      <c r="G1124" s="13"/>
      <c r="H1124" s="6"/>
      <c r="I1124" s="6"/>
      <c r="J1124" s="11" t="str">
        <f t="shared" si="87"/>
        <v/>
      </c>
      <c r="K1124" s="17" t="str">
        <f t="shared" si="88"/>
        <v/>
      </c>
      <c r="L1124" s="18" t="str">
        <f t="shared" si="89"/>
        <v/>
      </c>
      <c r="M1124" s="18" t="str">
        <f>IF(J1124&lt;&gt;-1,"",ROUND(F1124*IFERROR(INDEX(Stocuri!$G$5:$G$204,MATCH(D1124,Coduri,0)),0),2))</f>
        <v/>
      </c>
      <c r="N1124" s="19" t="str">
        <f t="shared" si="90"/>
        <v/>
      </c>
    </row>
    <row r="1125" spans="2:14" x14ac:dyDescent="0.2">
      <c r="B1125" s="15"/>
      <c r="C1125" s="6"/>
      <c r="D1125" s="12"/>
      <c r="E1125" s="10" t="str">
        <f t="shared" si="86"/>
        <v/>
      </c>
      <c r="F1125" s="16"/>
      <c r="G1125" s="13"/>
      <c r="H1125" s="6"/>
      <c r="I1125" s="6"/>
      <c r="J1125" s="11" t="str">
        <f t="shared" si="87"/>
        <v/>
      </c>
      <c r="K1125" s="17" t="str">
        <f t="shared" si="88"/>
        <v/>
      </c>
      <c r="L1125" s="18" t="str">
        <f t="shared" si="89"/>
        <v/>
      </c>
      <c r="M1125" s="18" t="str">
        <f>IF(J1125&lt;&gt;-1,"",ROUND(F1125*IFERROR(INDEX(Stocuri!$G$5:$G$204,MATCH(D1125,Coduri,0)),0),2))</f>
        <v/>
      </c>
      <c r="N1125" s="19" t="str">
        <f t="shared" si="90"/>
        <v/>
      </c>
    </row>
    <row r="1126" spans="2:14" x14ac:dyDescent="0.2">
      <c r="B1126" s="15"/>
      <c r="C1126" s="6"/>
      <c r="D1126" s="12"/>
      <c r="E1126" s="10" t="str">
        <f t="shared" si="86"/>
        <v/>
      </c>
      <c r="F1126" s="16"/>
      <c r="G1126" s="13"/>
      <c r="H1126" s="6"/>
      <c r="I1126" s="6"/>
      <c r="J1126" s="11" t="str">
        <f t="shared" si="87"/>
        <v/>
      </c>
      <c r="K1126" s="17" t="str">
        <f t="shared" si="88"/>
        <v/>
      </c>
      <c r="L1126" s="18" t="str">
        <f t="shared" si="89"/>
        <v/>
      </c>
      <c r="M1126" s="18" t="str">
        <f>IF(J1126&lt;&gt;-1,"",ROUND(F1126*IFERROR(INDEX(Stocuri!$G$5:$G$204,MATCH(D1126,Coduri,0)),0),2))</f>
        <v/>
      </c>
      <c r="N1126" s="19" t="str">
        <f t="shared" si="90"/>
        <v/>
      </c>
    </row>
    <row r="1127" spans="2:14" x14ac:dyDescent="0.2">
      <c r="B1127" s="15"/>
      <c r="C1127" s="6"/>
      <c r="D1127" s="12"/>
      <c r="E1127" s="10" t="str">
        <f t="shared" si="86"/>
        <v/>
      </c>
      <c r="F1127" s="16"/>
      <c r="G1127" s="13"/>
      <c r="H1127" s="6"/>
      <c r="I1127" s="6"/>
      <c r="J1127" s="11" t="str">
        <f t="shared" si="87"/>
        <v/>
      </c>
      <c r="K1127" s="17" t="str">
        <f t="shared" si="88"/>
        <v/>
      </c>
      <c r="L1127" s="18" t="str">
        <f t="shared" si="89"/>
        <v/>
      </c>
      <c r="M1127" s="18" t="str">
        <f>IF(J1127&lt;&gt;-1,"",ROUND(F1127*IFERROR(INDEX(Stocuri!$G$5:$G$204,MATCH(D1127,Coduri,0)),0),2))</f>
        <v/>
      </c>
      <c r="N1127" s="19" t="str">
        <f t="shared" si="90"/>
        <v/>
      </c>
    </row>
    <row r="1128" spans="2:14" x14ac:dyDescent="0.2">
      <c r="B1128" s="15"/>
      <c r="C1128" s="6"/>
      <c r="D1128" s="12"/>
      <c r="E1128" s="10" t="str">
        <f t="shared" si="86"/>
        <v/>
      </c>
      <c r="F1128" s="16"/>
      <c r="G1128" s="13"/>
      <c r="H1128" s="6"/>
      <c r="I1128" s="6"/>
      <c r="J1128" s="11" t="str">
        <f t="shared" si="87"/>
        <v/>
      </c>
      <c r="K1128" s="17" t="str">
        <f t="shared" si="88"/>
        <v/>
      </c>
      <c r="L1128" s="18" t="str">
        <f t="shared" si="89"/>
        <v/>
      </c>
      <c r="M1128" s="18" t="str">
        <f>IF(J1128&lt;&gt;-1,"",ROUND(F1128*IFERROR(INDEX(Stocuri!$G$5:$G$204,MATCH(D1128,Coduri,0)),0),2))</f>
        <v/>
      </c>
      <c r="N1128" s="19" t="str">
        <f t="shared" si="90"/>
        <v/>
      </c>
    </row>
    <row r="1129" spans="2:14" x14ac:dyDescent="0.2">
      <c r="B1129" s="15"/>
      <c r="C1129" s="6"/>
      <c r="D1129" s="12"/>
      <c r="E1129" s="10" t="str">
        <f t="shared" si="86"/>
        <v/>
      </c>
      <c r="F1129" s="16"/>
      <c r="G1129" s="13"/>
      <c r="H1129" s="6"/>
      <c r="I1129" s="6"/>
      <c r="J1129" s="11" t="str">
        <f t="shared" si="87"/>
        <v/>
      </c>
      <c r="K1129" s="17" t="str">
        <f t="shared" si="88"/>
        <v/>
      </c>
      <c r="L1129" s="18" t="str">
        <f t="shared" si="89"/>
        <v/>
      </c>
      <c r="M1129" s="18" t="str">
        <f>IF(J1129&lt;&gt;-1,"",ROUND(F1129*IFERROR(INDEX(Stocuri!$G$5:$G$204,MATCH(D1129,Coduri,0)),0),2))</f>
        <v/>
      </c>
      <c r="N1129" s="19" t="str">
        <f t="shared" si="90"/>
        <v/>
      </c>
    </row>
    <row r="1130" spans="2:14" x14ac:dyDescent="0.2">
      <c r="B1130" s="15"/>
      <c r="C1130" s="6"/>
      <c r="D1130" s="12"/>
      <c r="E1130" s="10" t="str">
        <f t="shared" si="86"/>
        <v/>
      </c>
      <c r="F1130" s="16"/>
      <c r="G1130" s="13"/>
      <c r="H1130" s="6"/>
      <c r="I1130" s="6"/>
      <c r="J1130" s="11" t="str">
        <f t="shared" si="87"/>
        <v/>
      </c>
      <c r="K1130" s="17" t="str">
        <f t="shared" si="88"/>
        <v/>
      </c>
      <c r="L1130" s="18" t="str">
        <f t="shared" si="89"/>
        <v/>
      </c>
      <c r="M1130" s="18" t="str">
        <f>IF(J1130&lt;&gt;-1,"",ROUND(F1130*IFERROR(INDEX(Stocuri!$G$5:$G$204,MATCH(D1130,Coduri,0)),0),2))</f>
        <v/>
      </c>
      <c r="N1130" s="19" t="str">
        <f t="shared" si="90"/>
        <v/>
      </c>
    </row>
    <row r="1131" spans="2:14" x14ac:dyDescent="0.2">
      <c r="B1131" s="15"/>
      <c r="C1131" s="6"/>
      <c r="D1131" s="12"/>
      <c r="E1131" s="10" t="str">
        <f t="shared" si="86"/>
        <v/>
      </c>
      <c r="F1131" s="16"/>
      <c r="G1131" s="13"/>
      <c r="H1131" s="6"/>
      <c r="I1131" s="6"/>
      <c r="J1131" s="11" t="str">
        <f t="shared" si="87"/>
        <v/>
      </c>
      <c r="K1131" s="17" t="str">
        <f t="shared" si="88"/>
        <v/>
      </c>
      <c r="L1131" s="18" t="str">
        <f t="shared" si="89"/>
        <v/>
      </c>
      <c r="M1131" s="18" t="str">
        <f>IF(J1131&lt;&gt;-1,"",ROUND(F1131*IFERROR(INDEX(Stocuri!$G$5:$G$204,MATCH(D1131,Coduri,0)),0),2))</f>
        <v/>
      </c>
      <c r="N1131" s="19" t="str">
        <f t="shared" si="90"/>
        <v/>
      </c>
    </row>
    <row r="1132" spans="2:14" x14ac:dyDescent="0.2">
      <c r="B1132" s="15"/>
      <c r="C1132" s="6"/>
      <c r="D1132" s="12"/>
      <c r="E1132" s="10" t="str">
        <f t="shared" si="86"/>
        <v/>
      </c>
      <c r="F1132" s="16"/>
      <c r="G1132" s="13"/>
      <c r="H1132" s="6"/>
      <c r="I1132" s="6"/>
      <c r="J1132" s="11" t="str">
        <f t="shared" si="87"/>
        <v/>
      </c>
      <c r="K1132" s="17" t="str">
        <f t="shared" si="88"/>
        <v/>
      </c>
      <c r="L1132" s="18" t="str">
        <f t="shared" si="89"/>
        <v/>
      </c>
      <c r="M1132" s="18" t="str">
        <f>IF(J1132&lt;&gt;-1,"",ROUND(F1132*IFERROR(INDEX(Stocuri!$G$5:$G$204,MATCH(D1132,Coduri,0)),0),2))</f>
        <v/>
      </c>
      <c r="N1132" s="19" t="str">
        <f t="shared" si="90"/>
        <v/>
      </c>
    </row>
    <row r="1133" spans="2:14" x14ac:dyDescent="0.2">
      <c r="B1133" s="15"/>
      <c r="C1133" s="6"/>
      <c r="D1133" s="12"/>
      <c r="E1133" s="10" t="str">
        <f t="shared" si="86"/>
        <v/>
      </c>
      <c r="F1133" s="16"/>
      <c r="G1133" s="13"/>
      <c r="H1133" s="6"/>
      <c r="I1133" s="6"/>
      <c r="J1133" s="11" t="str">
        <f t="shared" si="87"/>
        <v/>
      </c>
      <c r="K1133" s="17" t="str">
        <f t="shared" si="88"/>
        <v/>
      </c>
      <c r="L1133" s="18" t="str">
        <f t="shared" si="89"/>
        <v/>
      </c>
      <c r="M1133" s="18" t="str">
        <f>IF(J1133&lt;&gt;-1,"",ROUND(F1133*IFERROR(INDEX(Stocuri!$G$5:$G$204,MATCH(D1133,Coduri,0)),0),2))</f>
        <v/>
      </c>
      <c r="N1133" s="19" t="str">
        <f t="shared" si="90"/>
        <v/>
      </c>
    </row>
    <row r="1134" spans="2:14" x14ac:dyDescent="0.2">
      <c r="B1134" s="15"/>
      <c r="C1134" s="6"/>
      <c r="D1134" s="12"/>
      <c r="E1134" s="10" t="str">
        <f t="shared" si="86"/>
        <v/>
      </c>
      <c r="F1134" s="16"/>
      <c r="G1134" s="13"/>
      <c r="H1134" s="6"/>
      <c r="I1134" s="6"/>
      <c r="J1134" s="11" t="str">
        <f t="shared" si="87"/>
        <v/>
      </c>
      <c r="K1134" s="17" t="str">
        <f t="shared" si="88"/>
        <v/>
      </c>
      <c r="L1134" s="18" t="str">
        <f t="shared" si="89"/>
        <v/>
      </c>
      <c r="M1134" s="18" t="str">
        <f>IF(J1134&lt;&gt;-1,"",ROUND(F1134*IFERROR(INDEX(Stocuri!$G$5:$G$204,MATCH(D1134,Coduri,0)),0),2))</f>
        <v/>
      </c>
      <c r="N1134" s="19" t="str">
        <f t="shared" si="90"/>
        <v/>
      </c>
    </row>
    <row r="1135" spans="2:14" x14ac:dyDescent="0.2">
      <c r="B1135" s="15"/>
      <c r="C1135" s="6"/>
      <c r="D1135" s="12"/>
      <c r="E1135" s="10" t="str">
        <f t="shared" si="86"/>
        <v/>
      </c>
      <c r="F1135" s="16"/>
      <c r="G1135" s="13"/>
      <c r="H1135" s="6"/>
      <c r="I1135" s="6"/>
      <c r="J1135" s="11" t="str">
        <f t="shared" si="87"/>
        <v/>
      </c>
      <c r="K1135" s="17" t="str">
        <f t="shared" si="88"/>
        <v/>
      </c>
      <c r="L1135" s="18" t="str">
        <f t="shared" si="89"/>
        <v/>
      </c>
      <c r="M1135" s="18" t="str">
        <f>IF(J1135&lt;&gt;-1,"",ROUND(F1135*IFERROR(INDEX(Stocuri!$G$5:$G$204,MATCH(D1135,Coduri,0)),0),2))</f>
        <v/>
      </c>
      <c r="N1135" s="19" t="str">
        <f t="shared" si="90"/>
        <v/>
      </c>
    </row>
    <row r="1136" spans="2:14" x14ac:dyDescent="0.2">
      <c r="B1136" s="15"/>
      <c r="C1136" s="6"/>
      <c r="D1136" s="12"/>
      <c r="E1136" s="10" t="str">
        <f t="shared" si="86"/>
        <v/>
      </c>
      <c r="F1136" s="16"/>
      <c r="G1136" s="13"/>
      <c r="H1136" s="6"/>
      <c r="I1136" s="6"/>
      <c r="J1136" s="11" t="str">
        <f t="shared" si="87"/>
        <v/>
      </c>
      <c r="K1136" s="17" t="str">
        <f t="shared" si="88"/>
        <v/>
      </c>
      <c r="L1136" s="18" t="str">
        <f t="shared" si="89"/>
        <v/>
      </c>
      <c r="M1136" s="18" t="str">
        <f>IF(J1136&lt;&gt;-1,"",ROUND(F1136*IFERROR(INDEX(Stocuri!$G$5:$G$204,MATCH(D1136,Coduri,0)),0),2))</f>
        <v/>
      </c>
      <c r="N1136" s="19" t="str">
        <f t="shared" si="90"/>
        <v/>
      </c>
    </row>
    <row r="1137" spans="2:14" x14ac:dyDescent="0.2">
      <c r="B1137" s="15"/>
      <c r="C1137" s="6"/>
      <c r="D1137" s="12"/>
      <c r="E1137" s="10" t="str">
        <f t="shared" si="86"/>
        <v/>
      </c>
      <c r="F1137" s="16"/>
      <c r="G1137" s="13"/>
      <c r="H1137" s="6"/>
      <c r="I1137" s="6"/>
      <c r="J1137" s="11" t="str">
        <f t="shared" si="87"/>
        <v/>
      </c>
      <c r="K1137" s="17" t="str">
        <f t="shared" si="88"/>
        <v/>
      </c>
      <c r="L1137" s="18" t="str">
        <f t="shared" si="89"/>
        <v/>
      </c>
      <c r="M1137" s="18" t="str">
        <f>IF(J1137&lt;&gt;-1,"",ROUND(F1137*IFERROR(INDEX(Stocuri!$G$5:$G$204,MATCH(D1137,Coduri,0)),0),2))</f>
        <v/>
      </c>
      <c r="N1137" s="19" t="str">
        <f t="shared" si="90"/>
        <v/>
      </c>
    </row>
    <row r="1138" spans="2:14" x14ac:dyDescent="0.2">
      <c r="B1138" s="15"/>
      <c r="C1138" s="6"/>
      <c r="D1138" s="12"/>
      <c r="E1138" s="10" t="str">
        <f t="shared" si="86"/>
        <v/>
      </c>
      <c r="F1138" s="16"/>
      <c r="G1138" s="13"/>
      <c r="H1138" s="6"/>
      <c r="I1138" s="6"/>
      <c r="J1138" s="11" t="str">
        <f t="shared" si="87"/>
        <v/>
      </c>
      <c r="K1138" s="17" t="str">
        <f t="shared" si="88"/>
        <v/>
      </c>
      <c r="L1138" s="18" t="str">
        <f t="shared" si="89"/>
        <v/>
      </c>
      <c r="M1138" s="18" t="str">
        <f>IF(J1138&lt;&gt;-1,"",ROUND(F1138*IFERROR(INDEX(Stocuri!$G$5:$G$204,MATCH(D1138,Coduri,0)),0),2))</f>
        <v/>
      </c>
      <c r="N1138" s="19" t="str">
        <f t="shared" si="90"/>
        <v/>
      </c>
    </row>
    <row r="1139" spans="2:14" x14ac:dyDescent="0.2">
      <c r="B1139" s="15"/>
      <c r="C1139" s="6"/>
      <c r="D1139" s="12"/>
      <c r="E1139" s="10" t="str">
        <f t="shared" si="86"/>
        <v/>
      </c>
      <c r="F1139" s="16"/>
      <c r="G1139" s="13"/>
      <c r="H1139" s="6"/>
      <c r="I1139" s="6"/>
      <c r="J1139" s="11" t="str">
        <f t="shared" si="87"/>
        <v/>
      </c>
      <c r="K1139" s="17" t="str">
        <f t="shared" si="88"/>
        <v/>
      </c>
      <c r="L1139" s="18" t="str">
        <f t="shared" si="89"/>
        <v/>
      </c>
      <c r="M1139" s="18" t="str">
        <f>IF(J1139&lt;&gt;-1,"",ROUND(F1139*IFERROR(INDEX(Stocuri!$G$5:$G$204,MATCH(D1139,Coduri,0)),0),2))</f>
        <v/>
      </c>
      <c r="N1139" s="19" t="str">
        <f t="shared" si="90"/>
        <v/>
      </c>
    </row>
    <row r="1140" spans="2:14" x14ac:dyDescent="0.2">
      <c r="B1140" s="15"/>
      <c r="C1140" s="6"/>
      <c r="D1140" s="12"/>
      <c r="E1140" s="10" t="str">
        <f t="shared" si="86"/>
        <v/>
      </c>
      <c r="F1140" s="16"/>
      <c r="G1140" s="13"/>
      <c r="H1140" s="6"/>
      <c r="I1140" s="6"/>
      <c r="J1140" s="11" t="str">
        <f t="shared" si="87"/>
        <v/>
      </c>
      <c r="K1140" s="17" t="str">
        <f t="shared" si="88"/>
        <v/>
      </c>
      <c r="L1140" s="18" t="str">
        <f t="shared" si="89"/>
        <v/>
      </c>
      <c r="M1140" s="18" t="str">
        <f>IF(J1140&lt;&gt;-1,"",ROUND(F1140*IFERROR(INDEX(Stocuri!$G$5:$G$204,MATCH(D1140,Coduri,0)),0),2))</f>
        <v/>
      </c>
      <c r="N1140" s="19" t="str">
        <f t="shared" si="90"/>
        <v/>
      </c>
    </row>
    <row r="1141" spans="2:14" x14ac:dyDescent="0.2">
      <c r="B1141" s="15"/>
      <c r="C1141" s="6"/>
      <c r="D1141" s="12"/>
      <c r="E1141" s="10" t="str">
        <f t="shared" si="86"/>
        <v/>
      </c>
      <c r="F1141" s="16"/>
      <c r="G1141" s="13"/>
      <c r="H1141" s="6"/>
      <c r="I1141" s="6"/>
      <c r="J1141" s="11" t="str">
        <f t="shared" si="87"/>
        <v/>
      </c>
      <c r="K1141" s="17" t="str">
        <f t="shared" si="88"/>
        <v/>
      </c>
      <c r="L1141" s="18" t="str">
        <f t="shared" si="89"/>
        <v/>
      </c>
      <c r="M1141" s="18" t="str">
        <f>IF(J1141&lt;&gt;-1,"",ROUND(F1141*IFERROR(INDEX(Stocuri!$G$5:$G$204,MATCH(D1141,Coduri,0)),0),2))</f>
        <v/>
      </c>
      <c r="N1141" s="19" t="str">
        <f t="shared" si="90"/>
        <v/>
      </c>
    </row>
    <row r="1142" spans="2:14" x14ac:dyDescent="0.2">
      <c r="B1142" s="15"/>
      <c r="C1142" s="6"/>
      <c r="D1142" s="12"/>
      <c r="E1142" s="10" t="str">
        <f t="shared" si="86"/>
        <v/>
      </c>
      <c r="F1142" s="16"/>
      <c r="G1142" s="13"/>
      <c r="H1142" s="6"/>
      <c r="I1142" s="6"/>
      <c r="J1142" s="11" t="str">
        <f t="shared" si="87"/>
        <v/>
      </c>
      <c r="K1142" s="17" t="str">
        <f t="shared" si="88"/>
        <v/>
      </c>
      <c r="L1142" s="18" t="str">
        <f t="shared" si="89"/>
        <v/>
      </c>
      <c r="M1142" s="18" t="str">
        <f>IF(J1142&lt;&gt;-1,"",ROUND(F1142*IFERROR(INDEX(Stocuri!$G$5:$G$204,MATCH(D1142,Coduri,0)),0),2))</f>
        <v/>
      </c>
      <c r="N1142" s="19" t="str">
        <f t="shared" si="90"/>
        <v/>
      </c>
    </row>
    <row r="1143" spans="2:14" x14ac:dyDescent="0.2">
      <c r="B1143" s="15"/>
      <c r="C1143" s="6"/>
      <c r="D1143" s="12"/>
      <c r="E1143" s="10" t="str">
        <f t="shared" si="86"/>
        <v/>
      </c>
      <c r="F1143" s="16"/>
      <c r="G1143" s="13"/>
      <c r="H1143" s="6"/>
      <c r="I1143" s="6"/>
      <c r="J1143" s="11" t="str">
        <f t="shared" si="87"/>
        <v/>
      </c>
      <c r="K1143" s="17" t="str">
        <f t="shared" si="88"/>
        <v/>
      </c>
      <c r="L1143" s="18" t="str">
        <f t="shared" si="89"/>
        <v/>
      </c>
      <c r="M1143" s="18" t="str">
        <f>IF(J1143&lt;&gt;-1,"",ROUND(F1143*IFERROR(INDEX(Stocuri!$G$5:$G$204,MATCH(D1143,Coduri,0)),0),2))</f>
        <v/>
      </c>
      <c r="N1143" s="19" t="str">
        <f t="shared" si="90"/>
        <v/>
      </c>
    </row>
    <row r="1144" spans="2:14" x14ac:dyDescent="0.2">
      <c r="B1144" s="15"/>
      <c r="C1144" s="6"/>
      <c r="D1144" s="12"/>
      <c r="E1144" s="10" t="str">
        <f t="shared" si="86"/>
        <v/>
      </c>
      <c r="F1144" s="16"/>
      <c r="G1144" s="13"/>
      <c r="H1144" s="6"/>
      <c r="I1144" s="6"/>
      <c r="J1144" s="11" t="str">
        <f t="shared" si="87"/>
        <v/>
      </c>
      <c r="K1144" s="17" t="str">
        <f t="shared" si="88"/>
        <v/>
      </c>
      <c r="L1144" s="18" t="str">
        <f t="shared" si="89"/>
        <v/>
      </c>
      <c r="M1144" s="18" t="str">
        <f>IF(J1144&lt;&gt;-1,"",ROUND(F1144*IFERROR(INDEX(Stocuri!$G$5:$G$204,MATCH(D1144,Coduri,0)),0),2))</f>
        <v/>
      </c>
      <c r="N1144" s="19" t="str">
        <f t="shared" si="90"/>
        <v/>
      </c>
    </row>
    <row r="1145" spans="2:14" x14ac:dyDescent="0.2">
      <c r="B1145" s="15"/>
      <c r="C1145" s="6"/>
      <c r="D1145" s="12"/>
      <c r="E1145" s="10" t="str">
        <f t="shared" si="86"/>
        <v/>
      </c>
      <c r="F1145" s="16"/>
      <c r="G1145" s="13"/>
      <c r="H1145" s="6"/>
      <c r="I1145" s="6"/>
      <c r="J1145" s="11" t="str">
        <f t="shared" si="87"/>
        <v/>
      </c>
      <c r="K1145" s="17" t="str">
        <f t="shared" si="88"/>
        <v/>
      </c>
      <c r="L1145" s="18" t="str">
        <f t="shared" si="89"/>
        <v/>
      </c>
      <c r="M1145" s="18" t="str">
        <f>IF(J1145&lt;&gt;-1,"",ROUND(F1145*IFERROR(INDEX(Stocuri!$G$5:$G$204,MATCH(D1145,Coduri,0)),0),2))</f>
        <v/>
      </c>
      <c r="N1145" s="19" t="str">
        <f t="shared" si="90"/>
        <v/>
      </c>
    </row>
    <row r="1146" spans="2:14" x14ac:dyDescent="0.2">
      <c r="B1146" s="15"/>
      <c r="C1146" s="6"/>
      <c r="D1146" s="12"/>
      <c r="E1146" s="10" t="str">
        <f t="shared" si="86"/>
        <v/>
      </c>
      <c r="F1146" s="16"/>
      <c r="G1146" s="13"/>
      <c r="H1146" s="6"/>
      <c r="I1146" s="6"/>
      <c r="J1146" s="11" t="str">
        <f t="shared" si="87"/>
        <v/>
      </c>
      <c r="K1146" s="17" t="str">
        <f t="shared" si="88"/>
        <v/>
      </c>
      <c r="L1146" s="18" t="str">
        <f t="shared" si="89"/>
        <v/>
      </c>
      <c r="M1146" s="18" t="str">
        <f>IF(J1146&lt;&gt;-1,"",ROUND(F1146*IFERROR(INDEX(Stocuri!$G$5:$G$204,MATCH(D1146,Coduri,0)),0),2))</f>
        <v/>
      </c>
      <c r="N1146" s="19" t="str">
        <f t="shared" si="90"/>
        <v/>
      </c>
    </row>
    <row r="1147" spans="2:14" x14ac:dyDescent="0.2">
      <c r="B1147" s="15"/>
      <c r="C1147" s="6"/>
      <c r="D1147" s="12"/>
      <c r="E1147" s="10" t="str">
        <f t="shared" si="86"/>
        <v/>
      </c>
      <c r="F1147" s="16"/>
      <c r="G1147" s="13"/>
      <c r="H1147" s="6"/>
      <c r="I1147" s="6"/>
      <c r="J1147" s="11" t="str">
        <f t="shared" si="87"/>
        <v/>
      </c>
      <c r="K1147" s="17" t="str">
        <f t="shared" si="88"/>
        <v/>
      </c>
      <c r="L1147" s="18" t="str">
        <f t="shared" si="89"/>
        <v/>
      </c>
      <c r="M1147" s="18" t="str">
        <f>IF(J1147&lt;&gt;-1,"",ROUND(F1147*IFERROR(INDEX(Stocuri!$G$5:$G$204,MATCH(D1147,Coduri,0)),0),2))</f>
        <v/>
      </c>
      <c r="N1147" s="19" t="str">
        <f t="shared" si="90"/>
        <v/>
      </c>
    </row>
    <row r="1148" spans="2:14" x14ac:dyDescent="0.2">
      <c r="B1148" s="15"/>
      <c r="C1148" s="6"/>
      <c r="D1148" s="12"/>
      <c r="E1148" s="10" t="str">
        <f t="shared" si="86"/>
        <v/>
      </c>
      <c r="F1148" s="16"/>
      <c r="G1148" s="13"/>
      <c r="H1148" s="6"/>
      <c r="I1148" s="6"/>
      <c r="J1148" s="11" t="str">
        <f t="shared" si="87"/>
        <v/>
      </c>
      <c r="K1148" s="17" t="str">
        <f t="shared" si="88"/>
        <v/>
      </c>
      <c r="L1148" s="18" t="str">
        <f t="shared" si="89"/>
        <v/>
      </c>
      <c r="M1148" s="18" t="str">
        <f>IF(J1148&lt;&gt;-1,"",ROUND(F1148*IFERROR(INDEX(Stocuri!$G$5:$G$204,MATCH(D1148,Coduri,0)),0),2))</f>
        <v/>
      </c>
      <c r="N1148" s="19" t="str">
        <f t="shared" si="90"/>
        <v/>
      </c>
    </row>
    <row r="1149" spans="2:14" x14ac:dyDescent="0.2">
      <c r="B1149" s="15"/>
      <c r="C1149" s="6"/>
      <c r="D1149" s="12"/>
      <c r="E1149" s="10" t="str">
        <f t="shared" si="86"/>
        <v/>
      </c>
      <c r="F1149" s="16"/>
      <c r="G1149" s="13"/>
      <c r="H1149" s="6"/>
      <c r="I1149" s="6"/>
      <c r="J1149" s="11" t="str">
        <f t="shared" si="87"/>
        <v/>
      </c>
      <c r="K1149" s="17" t="str">
        <f t="shared" si="88"/>
        <v/>
      </c>
      <c r="L1149" s="18" t="str">
        <f t="shared" si="89"/>
        <v/>
      </c>
      <c r="M1149" s="18" t="str">
        <f>IF(J1149&lt;&gt;-1,"",ROUND(F1149*IFERROR(INDEX(Stocuri!$G$5:$G$204,MATCH(D1149,Coduri,0)),0),2))</f>
        <v/>
      </c>
      <c r="N1149" s="19" t="str">
        <f t="shared" si="90"/>
        <v/>
      </c>
    </row>
    <row r="1150" spans="2:14" x14ac:dyDescent="0.2">
      <c r="B1150" s="15"/>
      <c r="C1150" s="6"/>
      <c r="D1150" s="12"/>
      <c r="E1150" s="10" t="str">
        <f t="shared" si="86"/>
        <v/>
      </c>
      <c r="F1150" s="16"/>
      <c r="G1150" s="13"/>
      <c r="H1150" s="6"/>
      <c r="I1150" s="6"/>
      <c r="J1150" s="11" t="str">
        <f t="shared" si="87"/>
        <v/>
      </c>
      <c r="K1150" s="17" t="str">
        <f t="shared" si="88"/>
        <v/>
      </c>
      <c r="L1150" s="18" t="str">
        <f t="shared" si="89"/>
        <v/>
      </c>
      <c r="M1150" s="18" t="str">
        <f>IF(J1150&lt;&gt;-1,"",ROUND(F1150*IFERROR(INDEX(Stocuri!$G$5:$G$204,MATCH(D1150,Coduri,0)),0),2))</f>
        <v/>
      </c>
      <c r="N1150" s="19" t="str">
        <f t="shared" si="90"/>
        <v/>
      </c>
    </row>
    <row r="1151" spans="2:14" x14ac:dyDescent="0.2">
      <c r="B1151" s="15"/>
      <c r="C1151" s="6"/>
      <c r="D1151" s="12"/>
      <c r="E1151" s="10" t="str">
        <f t="shared" si="86"/>
        <v/>
      </c>
      <c r="F1151" s="16"/>
      <c r="G1151" s="13"/>
      <c r="H1151" s="6"/>
      <c r="I1151" s="6"/>
      <c r="J1151" s="11" t="str">
        <f t="shared" si="87"/>
        <v/>
      </c>
      <c r="K1151" s="17" t="str">
        <f t="shared" si="88"/>
        <v/>
      </c>
      <c r="L1151" s="18" t="str">
        <f t="shared" si="89"/>
        <v/>
      </c>
      <c r="M1151" s="18" t="str">
        <f>IF(J1151&lt;&gt;-1,"",ROUND(F1151*IFERROR(INDEX(Stocuri!$G$5:$G$204,MATCH(D1151,Coduri,0)),0),2))</f>
        <v/>
      </c>
      <c r="N1151" s="19" t="str">
        <f t="shared" si="90"/>
        <v/>
      </c>
    </row>
    <row r="1152" spans="2:14" x14ac:dyDescent="0.2">
      <c r="B1152" s="15"/>
      <c r="C1152" s="6"/>
      <c r="D1152" s="12"/>
      <c r="E1152" s="10" t="str">
        <f t="shared" si="86"/>
        <v/>
      </c>
      <c r="F1152" s="16"/>
      <c r="G1152" s="13"/>
      <c r="H1152" s="6"/>
      <c r="I1152" s="6"/>
      <c r="J1152" s="11" t="str">
        <f t="shared" si="87"/>
        <v/>
      </c>
      <c r="K1152" s="17" t="str">
        <f t="shared" si="88"/>
        <v/>
      </c>
      <c r="L1152" s="18" t="str">
        <f t="shared" si="89"/>
        <v/>
      </c>
      <c r="M1152" s="18" t="str">
        <f>IF(J1152&lt;&gt;-1,"",ROUND(F1152*IFERROR(INDEX(Stocuri!$G$5:$G$204,MATCH(D1152,Coduri,0)),0),2))</f>
        <v/>
      </c>
      <c r="N1152" s="19" t="str">
        <f t="shared" si="90"/>
        <v/>
      </c>
    </row>
    <row r="1153" spans="2:14" x14ac:dyDescent="0.2">
      <c r="B1153" s="15"/>
      <c r="C1153" s="6"/>
      <c r="D1153" s="12"/>
      <c r="E1153" s="10" t="str">
        <f t="shared" si="86"/>
        <v/>
      </c>
      <c r="F1153" s="16"/>
      <c r="G1153" s="13"/>
      <c r="H1153" s="6"/>
      <c r="I1153" s="6"/>
      <c r="J1153" s="11" t="str">
        <f t="shared" si="87"/>
        <v/>
      </c>
      <c r="K1153" s="17" t="str">
        <f t="shared" si="88"/>
        <v/>
      </c>
      <c r="L1153" s="18" t="str">
        <f t="shared" si="89"/>
        <v/>
      </c>
      <c r="M1153" s="18" t="str">
        <f>IF(J1153&lt;&gt;-1,"",ROUND(F1153*IFERROR(INDEX(Stocuri!$G$5:$G$204,MATCH(D1153,Coduri,0)),0),2))</f>
        <v/>
      </c>
      <c r="N1153" s="19" t="str">
        <f t="shared" si="90"/>
        <v/>
      </c>
    </row>
    <row r="1154" spans="2:14" x14ac:dyDescent="0.2">
      <c r="B1154" s="15"/>
      <c r="C1154" s="6"/>
      <c r="D1154" s="12"/>
      <c r="E1154" s="10" t="str">
        <f t="shared" si="86"/>
        <v/>
      </c>
      <c r="F1154" s="16"/>
      <c r="G1154" s="13"/>
      <c r="H1154" s="6"/>
      <c r="I1154" s="6"/>
      <c r="J1154" s="11" t="str">
        <f t="shared" si="87"/>
        <v/>
      </c>
      <c r="K1154" s="17" t="str">
        <f t="shared" si="88"/>
        <v/>
      </c>
      <c r="L1154" s="18" t="str">
        <f t="shared" si="89"/>
        <v/>
      </c>
      <c r="M1154" s="18" t="str">
        <f>IF(J1154&lt;&gt;-1,"",ROUND(F1154*IFERROR(INDEX(Stocuri!$G$5:$G$204,MATCH(D1154,Coduri,0)),0),2))</f>
        <v/>
      </c>
      <c r="N1154" s="19" t="str">
        <f t="shared" si="90"/>
        <v/>
      </c>
    </row>
    <row r="1155" spans="2:14" x14ac:dyDescent="0.2">
      <c r="B1155" s="15"/>
      <c r="C1155" s="6"/>
      <c r="D1155" s="12"/>
      <c r="E1155" s="10" t="str">
        <f t="shared" si="86"/>
        <v/>
      </c>
      <c r="F1155" s="16"/>
      <c r="G1155" s="13"/>
      <c r="H1155" s="6"/>
      <c r="I1155" s="6"/>
      <c r="J1155" s="11" t="str">
        <f t="shared" si="87"/>
        <v/>
      </c>
      <c r="K1155" s="17" t="str">
        <f t="shared" si="88"/>
        <v/>
      </c>
      <c r="L1155" s="18" t="str">
        <f t="shared" si="89"/>
        <v/>
      </c>
      <c r="M1155" s="18" t="str">
        <f>IF(J1155&lt;&gt;-1,"",ROUND(F1155*IFERROR(INDEX(Stocuri!$G$5:$G$204,MATCH(D1155,Coduri,0)),0),2))</f>
        <v/>
      </c>
      <c r="N1155" s="19" t="str">
        <f t="shared" si="90"/>
        <v/>
      </c>
    </row>
    <row r="1156" spans="2:14" x14ac:dyDescent="0.2">
      <c r="B1156" s="15"/>
      <c r="C1156" s="6"/>
      <c r="D1156" s="12"/>
      <c r="E1156" s="10" t="str">
        <f t="shared" si="86"/>
        <v/>
      </c>
      <c r="F1156" s="16"/>
      <c r="G1156" s="13"/>
      <c r="H1156" s="6"/>
      <c r="I1156" s="6"/>
      <c r="J1156" s="11" t="str">
        <f t="shared" si="87"/>
        <v/>
      </c>
      <c r="K1156" s="17" t="str">
        <f t="shared" si="88"/>
        <v/>
      </c>
      <c r="L1156" s="18" t="str">
        <f t="shared" si="89"/>
        <v/>
      </c>
      <c r="M1156" s="18" t="str">
        <f>IF(J1156&lt;&gt;-1,"",ROUND(F1156*IFERROR(INDEX(Stocuri!$G$5:$G$204,MATCH(D1156,Coduri,0)),0),2))</f>
        <v/>
      </c>
      <c r="N1156" s="19" t="str">
        <f t="shared" si="90"/>
        <v/>
      </c>
    </row>
    <row r="1157" spans="2:14" x14ac:dyDescent="0.2">
      <c r="B1157" s="15"/>
      <c r="C1157" s="6"/>
      <c r="D1157" s="12"/>
      <c r="E1157" s="10" t="str">
        <f t="shared" ref="E1157:E1220" si="91">IF(D1157="","",IFERROR(VLOOKUP(D1157,Catalog,2,FALSE),""))</f>
        <v/>
      </c>
      <c r="F1157" s="16"/>
      <c r="G1157" s="13"/>
      <c r="H1157" s="6"/>
      <c r="I1157" s="6"/>
      <c r="J1157" s="11" t="str">
        <f t="shared" ref="J1157:J1220" si="92">IF(C1157="","",IFERROR(VLOOKUP(C1157,TipSemn,2,FALSE),""))</f>
        <v/>
      </c>
      <c r="K1157" s="17" t="str">
        <f t="shared" ref="K1157:K1220" si="93">IF(OR(J1157="",F1157=""),"",J1157*F1157)</f>
        <v/>
      </c>
      <c r="L1157" s="18" t="str">
        <f t="shared" ref="L1157:L1220" si="94">IF(OR(J1157&lt;&gt;1,G1157=""),"",ROUND(F1157*G1157,2))</f>
        <v/>
      </c>
      <c r="M1157" s="18" t="str">
        <f>IF(J1157&lt;&gt;-1,"",ROUND(F1157*IFERROR(INDEX(Stocuri!$G$5:$G$204,MATCH(D1157,Coduri,0)),0),2))</f>
        <v/>
      </c>
      <c r="N1157" s="19" t="str">
        <f t="shared" ref="N1157:N1220" si="95">IF(AND(B1157="",D1157=""),"",TRIM(IF(OR(B1157="",C1157="",D1157="",F1157=""),"Date incomplete. ","")&amp;IF(AND(D1157&lt;&gt;"",E1157=""),"Cod necunoscut. ","")&amp;IF(AND(J1157=1,C1157&lt;&gt;"Retur de la client",C1157&lt;&gt;"Ajustare inventar +",G1157=""),"Lipsește prețul de intrare. ","")&amp;IF(AND(J1157=-1,D1157&lt;&gt;"",SUMIFS($K$5:$K$2004,$D$5:$D$2004,D1157,$B$5:$B$2004,"&lt;="&amp;B1157)&lt;0),"Stoc insuficient la această dată. ","")&amp;IF(AND(C1157&lt;&gt;"Stoc inițial",H1157=""),"Lipsește documentul. ","")))</f>
        <v/>
      </c>
    </row>
    <row r="1158" spans="2:14" x14ac:dyDescent="0.2">
      <c r="B1158" s="15"/>
      <c r="C1158" s="6"/>
      <c r="D1158" s="12"/>
      <c r="E1158" s="10" t="str">
        <f t="shared" si="91"/>
        <v/>
      </c>
      <c r="F1158" s="16"/>
      <c r="G1158" s="13"/>
      <c r="H1158" s="6"/>
      <c r="I1158" s="6"/>
      <c r="J1158" s="11" t="str">
        <f t="shared" si="92"/>
        <v/>
      </c>
      <c r="K1158" s="17" t="str">
        <f t="shared" si="93"/>
        <v/>
      </c>
      <c r="L1158" s="18" t="str">
        <f t="shared" si="94"/>
        <v/>
      </c>
      <c r="M1158" s="18" t="str">
        <f>IF(J1158&lt;&gt;-1,"",ROUND(F1158*IFERROR(INDEX(Stocuri!$G$5:$G$204,MATCH(D1158,Coduri,0)),0),2))</f>
        <v/>
      </c>
      <c r="N1158" s="19" t="str">
        <f t="shared" si="95"/>
        <v/>
      </c>
    </row>
    <row r="1159" spans="2:14" x14ac:dyDescent="0.2">
      <c r="B1159" s="15"/>
      <c r="C1159" s="6"/>
      <c r="D1159" s="12"/>
      <c r="E1159" s="10" t="str">
        <f t="shared" si="91"/>
        <v/>
      </c>
      <c r="F1159" s="16"/>
      <c r="G1159" s="13"/>
      <c r="H1159" s="6"/>
      <c r="I1159" s="6"/>
      <c r="J1159" s="11" t="str">
        <f t="shared" si="92"/>
        <v/>
      </c>
      <c r="K1159" s="17" t="str">
        <f t="shared" si="93"/>
        <v/>
      </c>
      <c r="L1159" s="18" t="str">
        <f t="shared" si="94"/>
        <v/>
      </c>
      <c r="M1159" s="18" t="str">
        <f>IF(J1159&lt;&gt;-1,"",ROUND(F1159*IFERROR(INDEX(Stocuri!$G$5:$G$204,MATCH(D1159,Coduri,0)),0),2))</f>
        <v/>
      </c>
      <c r="N1159" s="19" t="str">
        <f t="shared" si="95"/>
        <v/>
      </c>
    </row>
    <row r="1160" spans="2:14" x14ac:dyDescent="0.2">
      <c r="B1160" s="15"/>
      <c r="C1160" s="6"/>
      <c r="D1160" s="12"/>
      <c r="E1160" s="10" t="str">
        <f t="shared" si="91"/>
        <v/>
      </c>
      <c r="F1160" s="16"/>
      <c r="G1160" s="13"/>
      <c r="H1160" s="6"/>
      <c r="I1160" s="6"/>
      <c r="J1160" s="11" t="str">
        <f t="shared" si="92"/>
        <v/>
      </c>
      <c r="K1160" s="17" t="str">
        <f t="shared" si="93"/>
        <v/>
      </c>
      <c r="L1160" s="18" t="str">
        <f t="shared" si="94"/>
        <v/>
      </c>
      <c r="M1160" s="18" t="str">
        <f>IF(J1160&lt;&gt;-1,"",ROUND(F1160*IFERROR(INDEX(Stocuri!$G$5:$G$204,MATCH(D1160,Coduri,0)),0),2))</f>
        <v/>
      </c>
      <c r="N1160" s="19" t="str">
        <f t="shared" si="95"/>
        <v/>
      </c>
    </row>
    <row r="1161" spans="2:14" x14ac:dyDescent="0.2">
      <c r="B1161" s="15"/>
      <c r="C1161" s="6"/>
      <c r="D1161" s="12"/>
      <c r="E1161" s="10" t="str">
        <f t="shared" si="91"/>
        <v/>
      </c>
      <c r="F1161" s="16"/>
      <c r="G1161" s="13"/>
      <c r="H1161" s="6"/>
      <c r="I1161" s="6"/>
      <c r="J1161" s="11" t="str">
        <f t="shared" si="92"/>
        <v/>
      </c>
      <c r="K1161" s="17" t="str">
        <f t="shared" si="93"/>
        <v/>
      </c>
      <c r="L1161" s="18" t="str">
        <f t="shared" si="94"/>
        <v/>
      </c>
      <c r="M1161" s="18" t="str">
        <f>IF(J1161&lt;&gt;-1,"",ROUND(F1161*IFERROR(INDEX(Stocuri!$G$5:$G$204,MATCH(D1161,Coduri,0)),0),2))</f>
        <v/>
      </c>
      <c r="N1161" s="19" t="str">
        <f t="shared" si="95"/>
        <v/>
      </c>
    </row>
    <row r="1162" spans="2:14" x14ac:dyDescent="0.2">
      <c r="B1162" s="15"/>
      <c r="C1162" s="6"/>
      <c r="D1162" s="12"/>
      <c r="E1162" s="10" t="str">
        <f t="shared" si="91"/>
        <v/>
      </c>
      <c r="F1162" s="16"/>
      <c r="G1162" s="13"/>
      <c r="H1162" s="6"/>
      <c r="I1162" s="6"/>
      <c r="J1162" s="11" t="str">
        <f t="shared" si="92"/>
        <v/>
      </c>
      <c r="K1162" s="17" t="str">
        <f t="shared" si="93"/>
        <v/>
      </c>
      <c r="L1162" s="18" t="str">
        <f t="shared" si="94"/>
        <v/>
      </c>
      <c r="M1162" s="18" t="str">
        <f>IF(J1162&lt;&gt;-1,"",ROUND(F1162*IFERROR(INDEX(Stocuri!$G$5:$G$204,MATCH(D1162,Coduri,0)),0),2))</f>
        <v/>
      </c>
      <c r="N1162" s="19" t="str">
        <f t="shared" si="95"/>
        <v/>
      </c>
    </row>
    <row r="1163" spans="2:14" x14ac:dyDescent="0.2">
      <c r="B1163" s="15"/>
      <c r="C1163" s="6"/>
      <c r="D1163" s="12"/>
      <c r="E1163" s="10" t="str">
        <f t="shared" si="91"/>
        <v/>
      </c>
      <c r="F1163" s="16"/>
      <c r="G1163" s="13"/>
      <c r="H1163" s="6"/>
      <c r="I1163" s="6"/>
      <c r="J1163" s="11" t="str">
        <f t="shared" si="92"/>
        <v/>
      </c>
      <c r="K1163" s="17" t="str">
        <f t="shared" si="93"/>
        <v/>
      </c>
      <c r="L1163" s="18" t="str">
        <f t="shared" si="94"/>
        <v/>
      </c>
      <c r="M1163" s="18" t="str">
        <f>IF(J1163&lt;&gt;-1,"",ROUND(F1163*IFERROR(INDEX(Stocuri!$G$5:$G$204,MATCH(D1163,Coduri,0)),0),2))</f>
        <v/>
      </c>
      <c r="N1163" s="19" t="str">
        <f t="shared" si="95"/>
        <v/>
      </c>
    </row>
    <row r="1164" spans="2:14" x14ac:dyDescent="0.2">
      <c r="B1164" s="15"/>
      <c r="C1164" s="6"/>
      <c r="D1164" s="12"/>
      <c r="E1164" s="10" t="str">
        <f t="shared" si="91"/>
        <v/>
      </c>
      <c r="F1164" s="16"/>
      <c r="G1164" s="13"/>
      <c r="H1164" s="6"/>
      <c r="I1164" s="6"/>
      <c r="J1164" s="11" t="str">
        <f t="shared" si="92"/>
        <v/>
      </c>
      <c r="K1164" s="17" t="str">
        <f t="shared" si="93"/>
        <v/>
      </c>
      <c r="L1164" s="18" t="str">
        <f t="shared" si="94"/>
        <v/>
      </c>
      <c r="M1164" s="18" t="str">
        <f>IF(J1164&lt;&gt;-1,"",ROUND(F1164*IFERROR(INDEX(Stocuri!$G$5:$G$204,MATCH(D1164,Coduri,0)),0),2))</f>
        <v/>
      </c>
      <c r="N1164" s="19" t="str">
        <f t="shared" si="95"/>
        <v/>
      </c>
    </row>
    <row r="1165" spans="2:14" x14ac:dyDescent="0.2">
      <c r="B1165" s="15"/>
      <c r="C1165" s="6"/>
      <c r="D1165" s="12"/>
      <c r="E1165" s="10" t="str">
        <f t="shared" si="91"/>
        <v/>
      </c>
      <c r="F1165" s="16"/>
      <c r="G1165" s="13"/>
      <c r="H1165" s="6"/>
      <c r="I1165" s="6"/>
      <c r="J1165" s="11" t="str">
        <f t="shared" si="92"/>
        <v/>
      </c>
      <c r="K1165" s="17" t="str">
        <f t="shared" si="93"/>
        <v/>
      </c>
      <c r="L1165" s="18" t="str">
        <f t="shared" si="94"/>
        <v/>
      </c>
      <c r="M1165" s="18" t="str">
        <f>IF(J1165&lt;&gt;-1,"",ROUND(F1165*IFERROR(INDEX(Stocuri!$G$5:$G$204,MATCH(D1165,Coduri,0)),0),2))</f>
        <v/>
      </c>
      <c r="N1165" s="19" t="str">
        <f t="shared" si="95"/>
        <v/>
      </c>
    </row>
    <row r="1166" spans="2:14" x14ac:dyDescent="0.2">
      <c r="B1166" s="15"/>
      <c r="C1166" s="6"/>
      <c r="D1166" s="12"/>
      <c r="E1166" s="10" t="str">
        <f t="shared" si="91"/>
        <v/>
      </c>
      <c r="F1166" s="16"/>
      <c r="G1166" s="13"/>
      <c r="H1166" s="6"/>
      <c r="I1166" s="6"/>
      <c r="J1166" s="11" t="str">
        <f t="shared" si="92"/>
        <v/>
      </c>
      <c r="K1166" s="17" t="str">
        <f t="shared" si="93"/>
        <v/>
      </c>
      <c r="L1166" s="18" t="str">
        <f t="shared" si="94"/>
        <v/>
      </c>
      <c r="M1166" s="18" t="str">
        <f>IF(J1166&lt;&gt;-1,"",ROUND(F1166*IFERROR(INDEX(Stocuri!$G$5:$G$204,MATCH(D1166,Coduri,0)),0),2))</f>
        <v/>
      </c>
      <c r="N1166" s="19" t="str">
        <f t="shared" si="95"/>
        <v/>
      </c>
    </row>
    <row r="1167" spans="2:14" x14ac:dyDescent="0.2">
      <c r="B1167" s="15"/>
      <c r="C1167" s="6"/>
      <c r="D1167" s="12"/>
      <c r="E1167" s="10" t="str">
        <f t="shared" si="91"/>
        <v/>
      </c>
      <c r="F1167" s="16"/>
      <c r="G1167" s="13"/>
      <c r="H1167" s="6"/>
      <c r="I1167" s="6"/>
      <c r="J1167" s="11" t="str">
        <f t="shared" si="92"/>
        <v/>
      </c>
      <c r="K1167" s="17" t="str">
        <f t="shared" si="93"/>
        <v/>
      </c>
      <c r="L1167" s="18" t="str">
        <f t="shared" si="94"/>
        <v/>
      </c>
      <c r="M1167" s="18" t="str">
        <f>IF(J1167&lt;&gt;-1,"",ROUND(F1167*IFERROR(INDEX(Stocuri!$G$5:$G$204,MATCH(D1167,Coduri,0)),0),2))</f>
        <v/>
      </c>
      <c r="N1167" s="19" t="str">
        <f t="shared" si="95"/>
        <v/>
      </c>
    </row>
    <row r="1168" spans="2:14" x14ac:dyDescent="0.2">
      <c r="B1168" s="15"/>
      <c r="C1168" s="6"/>
      <c r="D1168" s="12"/>
      <c r="E1168" s="10" t="str">
        <f t="shared" si="91"/>
        <v/>
      </c>
      <c r="F1168" s="16"/>
      <c r="G1168" s="13"/>
      <c r="H1168" s="6"/>
      <c r="I1168" s="6"/>
      <c r="J1168" s="11" t="str">
        <f t="shared" si="92"/>
        <v/>
      </c>
      <c r="K1168" s="17" t="str">
        <f t="shared" si="93"/>
        <v/>
      </c>
      <c r="L1168" s="18" t="str">
        <f t="shared" si="94"/>
        <v/>
      </c>
      <c r="M1168" s="18" t="str">
        <f>IF(J1168&lt;&gt;-1,"",ROUND(F1168*IFERROR(INDEX(Stocuri!$G$5:$G$204,MATCH(D1168,Coduri,0)),0),2))</f>
        <v/>
      </c>
      <c r="N1168" s="19" t="str">
        <f t="shared" si="95"/>
        <v/>
      </c>
    </row>
    <row r="1169" spans="2:14" x14ac:dyDescent="0.2">
      <c r="B1169" s="15"/>
      <c r="C1169" s="6"/>
      <c r="D1169" s="12"/>
      <c r="E1169" s="10" t="str">
        <f t="shared" si="91"/>
        <v/>
      </c>
      <c r="F1169" s="16"/>
      <c r="G1169" s="13"/>
      <c r="H1169" s="6"/>
      <c r="I1169" s="6"/>
      <c r="J1169" s="11" t="str">
        <f t="shared" si="92"/>
        <v/>
      </c>
      <c r="K1169" s="17" t="str">
        <f t="shared" si="93"/>
        <v/>
      </c>
      <c r="L1169" s="18" t="str">
        <f t="shared" si="94"/>
        <v/>
      </c>
      <c r="M1169" s="18" t="str">
        <f>IF(J1169&lt;&gt;-1,"",ROUND(F1169*IFERROR(INDEX(Stocuri!$G$5:$G$204,MATCH(D1169,Coduri,0)),0),2))</f>
        <v/>
      </c>
      <c r="N1169" s="19" t="str">
        <f t="shared" si="95"/>
        <v/>
      </c>
    </row>
    <row r="1170" spans="2:14" x14ac:dyDescent="0.2">
      <c r="B1170" s="15"/>
      <c r="C1170" s="6"/>
      <c r="D1170" s="12"/>
      <c r="E1170" s="10" t="str">
        <f t="shared" si="91"/>
        <v/>
      </c>
      <c r="F1170" s="16"/>
      <c r="G1170" s="13"/>
      <c r="H1170" s="6"/>
      <c r="I1170" s="6"/>
      <c r="J1170" s="11" t="str">
        <f t="shared" si="92"/>
        <v/>
      </c>
      <c r="K1170" s="17" t="str">
        <f t="shared" si="93"/>
        <v/>
      </c>
      <c r="L1170" s="18" t="str">
        <f t="shared" si="94"/>
        <v/>
      </c>
      <c r="M1170" s="18" t="str">
        <f>IF(J1170&lt;&gt;-1,"",ROUND(F1170*IFERROR(INDEX(Stocuri!$G$5:$G$204,MATCH(D1170,Coduri,0)),0),2))</f>
        <v/>
      </c>
      <c r="N1170" s="19" t="str">
        <f t="shared" si="95"/>
        <v/>
      </c>
    </row>
    <row r="1171" spans="2:14" x14ac:dyDescent="0.2">
      <c r="B1171" s="15"/>
      <c r="C1171" s="6"/>
      <c r="D1171" s="12"/>
      <c r="E1171" s="10" t="str">
        <f t="shared" si="91"/>
        <v/>
      </c>
      <c r="F1171" s="16"/>
      <c r="G1171" s="13"/>
      <c r="H1171" s="6"/>
      <c r="I1171" s="6"/>
      <c r="J1171" s="11" t="str">
        <f t="shared" si="92"/>
        <v/>
      </c>
      <c r="K1171" s="17" t="str">
        <f t="shared" si="93"/>
        <v/>
      </c>
      <c r="L1171" s="18" t="str">
        <f t="shared" si="94"/>
        <v/>
      </c>
      <c r="M1171" s="18" t="str">
        <f>IF(J1171&lt;&gt;-1,"",ROUND(F1171*IFERROR(INDEX(Stocuri!$G$5:$G$204,MATCH(D1171,Coduri,0)),0),2))</f>
        <v/>
      </c>
      <c r="N1171" s="19" t="str">
        <f t="shared" si="95"/>
        <v/>
      </c>
    </row>
    <row r="1172" spans="2:14" x14ac:dyDescent="0.2">
      <c r="B1172" s="15"/>
      <c r="C1172" s="6"/>
      <c r="D1172" s="12"/>
      <c r="E1172" s="10" t="str">
        <f t="shared" si="91"/>
        <v/>
      </c>
      <c r="F1172" s="16"/>
      <c r="G1172" s="13"/>
      <c r="H1172" s="6"/>
      <c r="I1172" s="6"/>
      <c r="J1172" s="11" t="str">
        <f t="shared" si="92"/>
        <v/>
      </c>
      <c r="K1172" s="17" t="str">
        <f t="shared" si="93"/>
        <v/>
      </c>
      <c r="L1172" s="18" t="str">
        <f t="shared" si="94"/>
        <v/>
      </c>
      <c r="M1172" s="18" t="str">
        <f>IF(J1172&lt;&gt;-1,"",ROUND(F1172*IFERROR(INDEX(Stocuri!$G$5:$G$204,MATCH(D1172,Coduri,0)),0),2))</f>
        <v/>
      </c>
      <c r="N1172" s="19" t="str">
        <f t="shared" si="95"/>
        <v/>
      </c>
    </row>
    <row r="1173" spans="2:14" x14ac:dyDescent="0.2">
      <c r="B1173" s="15"/>
      <c r="C1173" s="6"/>
      <c r="D1173" s="12"/>
      <c r="E1173" s="10" t="str">
        <f t="shared" si="91"/>
        <v/>
      </c>
      <c r="F1173" s="16"/>
      <c r="G1173" s="13"/>
      <c r="H1173" s="6"/>
      <c r="I1173" s="6"/>
      <c r="J1173" s="11" t="str">
        <f t="shared" si="92"/>
        <v/>
      </c>
      <c r="K1173" s="17" t="str">
        <f t="shared" si="93"/>
        <v/>
      </c>
      <c r="L1173" s="18" t="str">
        <f t="shared" si="94"/>
        <v/>
      </c>
      <c r="M1173" s="18" t="str">
        <f>IF(J1173&lt;&gt;-1,"",ROUND(F1173*IFERROR(INDEX(Stocuri!$G$5:$G$204,MATCH(D1173,Coduri,0)),0),2))</f>
        <v/>
      </c>
      <c r="N1173" s="19" t="str">
        <f t="shared" si="95"/>
        <v/>
      </c>
    </row>
    <row r="1174" spans="2:14" x14ac:dyDescent="0.2">
      <c r="B1174" s="15"/>
      <c r="C1174" s="6"/>
      <c r="D1174" s="12"/>
      <c r="E1174" s="10" t="str">
        <f t="shared" si="91"/>
        <v/>
      </c>
      <c r="F1174" s="16"/>
      <c r="G1174" s="13"/>
      <c r="H1174" s="6"/>
      <c r="I1174" s="6"/>
      <c r="J1174" s="11" t="str">
        <f t="shared" si="92"/>
        <v/>
      </c>
      <c r="K1174" s="17" t="str">
        <f t="shared" si="93"/>
        <v/>
      </c>
      <c r="L1174" s="18" t="str">
        <f t="shared" si="94"/>
        <v/>
      </c>
      <c r="M1174" s="18" t="str">
        <f>IF(J1174&lt;&gt;-1,"",ROUND(F1174*IFERROR(INDEX(Stocuri!$G$5:$G$204,MATCH(D1174,Coduri,0)),0),2))</f>
        <v/>
      </c>
      <c r="N1174" s="19" t="str">
        <f t="shared" si="95"/>
        <v/>
      </c>
    </row>
    <row r="1175" spans="2:14" x14ac:dyDescent="0.2">
      <c r="B1175" s="15"/>
      <c r="C1175" s="6"/>
      <c r="D1175" s="12"/>
      <c r="E1175" s="10" t="str">
        <f t="shared" si="91"/>
        <v/>
      </c>
      <c r="F1175" s="16"/>
      <c r="G1175" s="13"/>
      <c r="H1175" s="6"/>
      <c r="I1175" s="6"/>
      <c r="J1175" s="11" t="str">
        <f t="shared" si="92"/>
        <v/>
      </c>
      <c r="K1175" s="17" t="str">
        <f t="shared" si="93"/>
        <v/>
      </c>
      <c r="L1175" s="18" t="str">
        <f t="shared" si="94"/>
        <v/>
      </c>
      <c r="M1175" s="18" t="str">
        <f>IF(J1175&lt;&gt;-1,"",ROUND(F1175*IFERROR(INDEX(Stocuri!$G$5:$G$204,MATCH(D1175,Coduri,0)),0),2))</f>
        <v/>
      </c>
      <c r="N1175" s="19" t="str">
        <f t="shared" si="95"/>
        <v/>
      </c>
    </row>
    <row r="1176" spans="2:14" x14ac:dyDescent="0.2">
      <c r="B1176" s="15"/>
      <c r="C1176" s="6"/>
      <c r="D1176" s="12"/>
      <c r="E1176" s="10" t="str">
        <f t="shared" si="91"/>
        <v/>
      </c>
      <c r="F1176" s="16"/>
      <c r="G1176" s="13"/>
      <c r="H1176" s="6"/>
      <c r="I1176" s="6"/>
      <c r="J1176" s="11" t="str">
        <f t="shared" si="92"/>
        <v/>
      </c>
      <c r="K1176" s="17" t="str">
        <f t="shared" si="93"/>
        <v/>
      </c>
      <c r="L1176" s="18" t="str">
        <f t="shared" si="94"/>
        <v/>
      </c>
      <c r="M1176" s="18" t="str">
        <f>IF(J1176&lt;&gt;-1,"",ROUND(F1176*IFERROR(INDEX(Stocuri!$G$5:$G$204,MATCH(D1176,Coduri,0)),0),2))</f>
        <v/>
      </c>
      <c r="N1176" s="19" t="str">
        <f t="shared" si="95"/>
        <v/>
      </c>
    </row>
    <row r="1177" spans="2:14" x14ac:dyDescent="0.2">
      <c r="B1177" s="15"/>
      <c r="C1177" s="6"/>
      <c r="D1177" s="12"/>
      <c r="E1177" s="10" t="str">
        <f t="shared" si="91"/>
        <v/>
      </c>
      <c r="F1177" s="16"/>
      <c r="G1177" s="13"/>
      <c r="H1177" s="6"/>
      <c r="I1177" s="6"/>
      <c r="J1177" s="11" t="str">
        <f t="shared" si="92"/>
        <v/>
      </c>
      <c r="K1177" s="17" t="str">
        <f t="shared" si="93"/>
        <v/>
      </c>
      <c r="L1177" s="18" t="str">
        <f t="shared" si="94"/>
        <v/>
      </c>
      <c r="M1177" s="18" t="str">
        <f>IF(J1177&lt;&gt;-1,"",ROUND(F1177*IFERROR(INDEX(Stocuri!$G$5:$G$204,MATCH(D1177,Coduri,0)),0),2))</f>
        <v/>
      </c>
      <c r="N1177" s="19" t="str">
        <f t="shared" si="95"/>
        <v/>
      </c>
    </row>
    <row r="1178" spans="2:14" x14ac:dyDescent="0.2">
      <c r="B1178" s="15"/>
      <c r="C1178" s="6"/>
      <c r="D1178" s="12"/>
      <c r="E1178" s="10" t="str">
        <f t="shared" si="91"/>
        <v/>
      </c>
      <c r="F1178" s="16"/>
      <c r="G1178" s="13"/>
      <c r="H1178" s="6"/>
      <c r="I1178" s="6"/>
      <c r="J1178" s="11" t="str">
        <f t="shared" si="92"/>
        <v/>
      </c>
      <c r="K1178" s="17" t="str">
        <f t="shared" si="93"/>
        <v/>
      </c>
      <c r="L1178" s="18" t="str">
        <f t="shared" si="94"/>
        <v/>
      </c>
      <c r="M1178" s="18" t="str">
        <f>IF(J1178&lt;&gt;-1,"",ROUND(F1178*IFERROR(INDEX(Stocuri!$G$5:$G$204,MATCH(D1178,Coduri,0)),0),2))</f>
        <v/>
      </c>
      <c r="N1178" s="19" t="str">
        <f t="shared" si="95"/>
        <v/>
      </c>
    </row>
    <row r="1179" spans="2:14" x14ac:dyDescent="0.2">
      <c r="B1179" s="15"/>
      <c r="C1179" s="6"/>
      <c r="D1179" s="12"/>
      <c r="E1179" s="10" t="str">
        <f t="shared" si="91"/>
        <v/>
      </c>
      <c r="F1179" s="16"/>
      <c r="G1179" s="13"/>
      <c r="H1179" s="6"/>
      <c r="I1179" s="6"/>
      <c r="J1179" s="11" t="str">
        <f t="shared" si="92"/>
        <v/>
      </c>
      <c r="K1179" s="17" t="str">
        <f t="shared" si="93"/>
        <v/>
      </c>
      <c r="L1179" s="18" t="str">
        <f t="shared" si="94"/>
        <v/>
      </c>
      <c r="M1179" s="18" t="str">
        <f>IF(J1179&lt;&gt;-1,"",ROUND(F1179*IFERROR(INDEX(Stocuri!$G$5:$G$204,MATCH(D1179,Coduri,0)),0),2))</f>
        <v/>
      </c>
      <c r="N1179" s="19" t="str">
        <f t="shared" si="95"/>
        <v/>
      </c>
    </row>
    <row r="1180" spans="2:14" x14ac:dyDescent="0.2">
      <c r="B1180" s="15"/>
      <c r="C1180" s="6"/>
      <c r="D1180" s="12"/>
      <c r="E1180" s="10" t="str">
        <f t="shared" si="91"/>
        <v/>
      </c>
      <c r="F1180" s="16"/>
      <c r="G1180" s="13"/>
      <c r="H1180" s="6"/>
      <c r="I1180" s="6"/>
      <c r="J1180" s="11" t="str">
        <f t="shared" si="92"/>
        <v/>
      </c>
      <c r="K1180" s="17" t="str">
        <f t="shared" si="93"/>
        <v/>
      </c>
      <c r="L1180" s="18" t="str">
        <f t="shared" si="94"/>
        <v/>
      </c>
      <c r="M1180" s="18" t="str">
        <f>IF(J1180&lt;&gt;-1,"",ROUND(F1180*IFERROR(INDEX(Stocuri!$G$5:$G$204,MATCH(D1180,Coduri,0)),0),2))</f>
        <v/>
      </c>
      <c r="N1180" s="19" t="str">
        <f t="shared" si="95"/>
        <v/>
      </c>
    </row>
    <row r="1181" spans="2:14" x14ac:dyDescent="0.2">
      <c r="B1181" s="15"/>
      <c r="C1181" s="6"/>
      <c r="D1181" s="12"/>
      <c r="E1181" s="10" t="str">
        <f t="shared" si="91"/>
        <v/>
      </c>
      <c r="F1181" s="16"/>
      <c r="G1181" s="13"/>
      <c r="H1181" s="6"/>
      <c r="I1181" s="6"/>
      <c r="J1181" s="11" t="str">
        <f t="shared" si="92"/>
        <v/>
      </c>
      <c r="K1181" s="17" t="str">
        <f t="shared" si="93"/>
        <v/>
      </c>
      <c r="L1181" s="18" t="str">
        <f t="shared" si="94"/>
        <v/>
      </c>
      <c r="M1181" s="18" t="str">
        <f>IF(J1181&lt;&gt;-1,"",ROUND(F1181*IFERROR(INDEX(Stocuri!$G$5:$G$204,MATCH(D1181,Coduri,0)),0),2))</f>
        <v/>
      </c>
      <c r="N1181" s="19" t="str">
        <f t="shared" si="95"/>
        <v/>
      </c>
    </row>
    <row r="1182" spans="2:14" x14ac:dyDescent="0.2">
      <c r="B1182" s="15"/>
      <c r="C1182" s="6"/>
      <c r="D1182" s="12"/>
      <c r="E1182" s="10" t="str">
        <f t="shared" si="91"/>
        <v/>
      </c>
      <c r="F1182" s="16"/>
      <c r="G1182" s="13"/>
      <c r="H1182" s="6"/>
      <c r="I1182" s="6"/>
      <c r="J1182" s="11" t="str">
        <f t="shared" si="92"/>
        <v/>
      </c>
      <c r="K1182" s="17" t="str">
        <f t="shared" si="93"/>
        <v/>
      </c>
      <c r="L1182" s="18" t="str">
        <f t="shared" si="94"/>
        <v/>
      </c>
      <c r="M1182" s="18" t="str">
        <f>IF(J1182&lt;&gt;-1,"",ROUND(F1182*IFERROR(INDEX(Stocuri!$G$5:$G$204,MATCH(D1182,Coduri,0)),0),2))</f>
        <v/>
      </c>
      <c r="N1182" s="19" t="str">
        <f t="shared" si="95"/>
        <v/>
      </c>
    </row>
    <row r="1183" spans="2:14" x14ac:dyDescent="0.2">
      <c r="B1183" s="15"/>
      <c r="C1183" s="6"/>
      <c r="D1183" s="12"/>
      <c r="E1183" s="10" t="str">
        <f t="shared" si="91"/>
        <v/>
      </c>
      <c r="F1183" s="16"/>
      <c r="G1183" s="13"/>
      <c r="H1183" s="6"/>
      <c r="I1183" s="6"/>
      <c r="J1183" s="11" t="str">
        <f t="shared" si="92"/>
        <v/>
      </c>
      <c r="K1183" s="17" t="str">
        <f t="shared" si="93"/>
        <v/>
      </c>
      <c r="L1183" s="18" t="str">
        <f t="shared" si="94"/>
        <v/>
      </c>
      <c r="M1183" s="18" t="str">
        <f>IF(J1183&lt;&gt;-1,"",ROUND(F1183*IFERROR(INDEX(Stocuri!$G$5:$G$204,MATCH(D1183,Coduri,0)),0),2))</f>
        <v/>
      </c>
      <c r="N1183" s="19" t="str">
        <f t="shared" si="95"/>
        <v/>
      </c>
    </row>
    <row r="1184" spans="2:14" x14ac:dyDescent="0.2">
      <c r="B1184" s="15"/>
      <c r="C1184" s="6"/>
      <c r="D1184" s="12"/>
      <c r="E1184" s="10" t="str">
        <f t="shared" si="91"/>
        <v/>
      </c>
      <c r="F1184" s="16"/>
      <c r="G1184" s="13"/>
      <c r="H1184" s="6"/>
      <c r="I1184" s="6"/>
      <c r="J1184" s="11" t="str">
        <f t="shared" si="92"/>
        <v/>
      </c>
      <c r="K1184" s="17" t="str">
        <f t="shared" si="93"/>
        <v/>
      </c>
      <c r="L1184" s="18" t="str">
        <f t="shared" si="94"/>
        <v/>
      </c>
      <c r="M1184" s="18" t="str">
        <f>IF(J1184&lt;&gt;-1,"",ROUND(F1184*IFERROR(INDEX(Stocuri!$G$5:$G$204,MATCH(D1184,Coduri,0)),0),2))</f>
        <v/>
      </c>
      <c r="N1184" s="19" t="str">
        <f t="shared" si="95"/>
        <v/>
      </c>
    </row>
    <row r="1185" spans="2:14" x14ac:dyDescent="0.2">
      <c r="B1185" s="15"/>
      <c r="C1185" s="6"/>
      <c r="D1185" s="12"/>
      <c r="E1185" s="10" t="str">
        <f t="shared" si="91"/>
        <v/>
      </c>
      <c r="F1185" s="16"/>
      <c r="G1185" s="13"/>
      <c r="H1185" s="6"/>
      <c r="I1185" s="6"/>
      <c r="J1185" s="11" t="str">
        <f t="shared" si="92"/>
        <v/>
      </c>
      <c r="K1185" s="17" t="str">
        <f t="shared" si="93"/>
        <v/>
      </c>
      <c r="L1185" s="18" t="str">
        <f t="shared" si="94"/>
        <v/>
      </c>
      <c r="M1185" s="18" t="str">
        <f>IF(J1185&lt;&gt;-1,"",ROUND(F1185*IFERROR(INDEX(Stocuri!$G$5:$G$204,MATCH(D1185,Coduri,0)),0),2))</f>
        <v/>
      </c>
      <c r="N1185" s="19" t="str">
        <f t="shared" si="95"/>
        <v/>
      </c>
    </row>
    <row r="1186" spans="2:14" x14ac:dyDescent="0.2">
      <c r="B1186" s="15"/>
      <c r="C1186" s="6"/>
      <c r="D1186" s="12"/>
      <c r="E1186" s="10" t="str">
        <f t="shared" si="91"/>
        <v/>
      </c>
      <c r="F1186" s="16"/>
      <c r="G1186" s="13"/>
      <c r="H1186" s="6"/>
      <c r="I1186" s="6"/>
      <c r="J1186" s="11" t="str">
        <f t="shared" si="92"/>
        <v/>
      </c>
      <c r="K1186" s="17" t="str">
        <f t="shared" si="93"/>
        <v/>
      </c>
      <c r="L1186" s="18" t="str">
        <f t="shared" si="94"/>
        <v/>
      </c>
      <c r="M1186" s="18" t="str">
        <f>IF(J1186&lt;&gt;-1,"",ROUND(F1186*IFERROR(INDEX(Stocuri!$G$5:$G$204,MATCH(D1186,Coduri,0)),0),2))</f>
        <v/>
      </c>
      <c r="N1186" s="19" t="str">
        <f t="shared" si="95"/>
        <v/>
      </c>
    </row>
    <row r="1187" spans="2:14" x14ac:dyDescent="0.2">
      <c r="B1187" s="15"/>
      <c r="C1187" s="6"/>
      <c r="D1187" s="12"/>
      <c r="E1187" s="10" t="str">
        <f t="shared" si="91"/>
        <v/>
      </c>
      <c r="F1187" s="16"/>
      <c r="G1187" s="13"/>
      <c r="H1187" s="6"/>
      <c r="I1187" s="6"/>
      <c r="J1187" s="11" t="str">
        <f t="shared" si="92"/>
        <v/>
      </c>
      <c r="K1187" s="17" t="str">
        <f t="shared" si="93"/>
        <v/>
      </c>
      <c r="L1187" s="18" t="str">
        <f t="shared" si="94"/>
        <v/>
      </c>
      <c r="M1187" s="18" t="str">
        <f>IF(J1187&lt;&gt;-1,"",ROUND(F1187*IFERROR(INDEX(Stocuri!$G$5:$G$204,MATCH(D1187,Coduri,0)),0),2))</f>
        <v/>
      </c>
      <c r="N1187" s="19" t="str">
        <f t="shared" si="95"/>
        <v/>
      </c>
    </row>
    <row r="1188" spans="2:14" x14ac:dyDescent="0.2">
      <c r="B1188" s="15"/>
      <c r="C1188" s="6"/>
      <c r="D1188" s="12"/>
      <c r="E1188" s="10" t="str">
        <f t="shared" si="91"/>
        <v/>
      </c>
      <c r="F1188" s="16"/>
      <c r="G1188" s="13"/>
      <c r="H1188" s="6"/>
      <c r="I1188" s="6"/>
      <c r="J1188" s="11" t="str">
        <f t="shared" si="92"/>
        <v/>
      </c>
      <c r="K1188" s="17" t="str">
        <f t="shared" si="93"/>
        <v/>
      </c>
      <c r="L1188" s="18" t="str">
        <f t="shared" si="94"/>
        <v/>
      </c>
      <c r="M1188" s="18" t="str">
        <f>IF(J1188&lt;&gt;-1,"",ROUND(F1188*IFERROR(INDEX(Stocuri!$G$5:$G$204,MATCH(D1188,Coduri,0)),0),2))</f>
        <v/>
      </c>
      <c r="N1188" s="19" t="str">
        <f t="shared" si="95"/>
        <v/>
      </c>
    </row>
    <row r="1189" spans="2:14" x14ac:dyDescent="0.2">
      <c r="B1189" s="15"/>
      <c r="C1189" s="6"/>
      <c r="D1189" s="12"/>
      <c r="E1189" s="10" t="str">
        <f t="shared" si="91"/>
        <v/>
      </c>
      <c r="F1189" s="16"/>
      <c r="G1189" s="13"/>
      <c r="H1189" s="6"/>
      <c r="I1189" s="6"/>
      <c r="J1189" s="11" t="str">
        <f t="shared" si="92"/>
        <v/>
      </c>
      <c r="K1189" s="17" t="str">
        <f t="shared" si="93"/>
        <v/>
      </c>
      <c r="L1189" s="18" t="str">
        <f t="shared" si="94"/>
        <v/>
      </c>
      <c r="M1189" s="18" t="str">
        <f>IF(J1189&lt;&gt;-1,"",ROUND(F1189*IFERROR(INDEX(Stocuri!$G$5:$G$204,MATCH(D1189,Coduri,0)),0),2))</f>
        <v/>
      </c>
      <c r="N1189" s="19" t="str">
        <f t="shared" si="95"/>
        <v/>
      </c>
    </row>
    <row r="1190" spans="2:14" x14ac:dyDescent="0.2">
      <c r="B1190" s="15"/>
      <c r="C1190" s="6"/>
      <c r="D1190" s="12"/>
      <c r="E1190" s="10" t="str">
        <f t="shared" si="91"/>
        <v/>
      </c>
      <c r="F1190" s="16"/>
      <c r="G1190" s="13"/>
      <c r="H1190" s="6"/>
      <c r="I1190" s="6"/>
      <c r="J1190" s="11" t="str">
        <f t="shared" si="92"/>
        <v/>
      </c>
      <c r="K1190" s="17" t="str">
        <f t="shared" si="93"/>
        <v/>
      </c>
      <c r="L1190" s="18" t="str">
        <f t="shared" si="94"/>
        <v/>
      </c>
      <c r="M1190" s="18" t="str">
        <f>IF(J1190&lt;&gt;-1,"",ROUND(F1190*IFERROR(INDEX(Stocuri!$G$5:$G$204,MATCH(D1190,Coduri,0)),0),2))</f>
        <v/>
      </c>
      <c r="N1190" s="19" t="str">
        <f t="shared" si="95"/>
        <v/>
      </c>
    </row>
    <row r="1191" spans="2:14" x14ac:dyDescent="0.2">
      <c r="B1191" s="15"/>
      <c r="C1191" s="6"/>
      <c r="D1191" s="12"/>
      <c r="E1191" s="10" t="str">
        <f t="shared" si="91"/>
        <v/>
      </c>
      <c r="F1191" s="16"/>
      <c r="G1191" s="13"/>
      <c r="H1191" s="6"/>
      <c r="I1191" s="6"/>
      <c r="J1191" s="11" t="str">
        <f t="shared" si="92"/>
        <v/>
      </c>
      <c r="K1191" s="17" t="str">
        <f t="shared" si="93"/>
        <v/>
      </c>
      <c r="L1191" s="18" t="str">
        <f t="shared" si="94"/>
        <v/>
      </c>
      <c r="M1191" s="18" t="str">
        <f>IF(J1191&lt;&gt;-1,"",ROUND(F1191*IFERROR(INDEX(Stocuri!$G$5:$G$204,MATCH(D1191,Coduri,0)),0),2))</f>
        <v/>
      </c>
      <c r="N1191" s="19" t="str">
        <f t="shared" si="95"/>
        <v/>
      </c>
    </row>
    <row r="1192" spans="2:14" x14ac:dyDescent="0.2">
      <c r="B1192" s="15"/>
      <c r="C1192" s="6"/>
      <c r="D1192" s="12"/>
      <c r="E1192" s="10" t="str">
        <f t="shared" si="91"/>
        <v/>
      </c>
      <c r="F1192" s="16"/>
      <c r="G1192" s="13"/>
      <c r="H1192" s="6"/>
      <c r="I1192" s="6"/>
      <c r="J1192" s="11" t="str">
        <f t="shared" si="92"/>
        <v/>
      </c>
      <c r="K1192" s="17" t="str">
        <f t="shared" si="93"/>
        <v/>
      </c>
      <c r="L1192" s="18" t="str">
        <f t="shared" si="94"/>
        <v/>
      </c>
      <c r="M1192" s="18" t="str">
        <f>IF(J1192&lt;&gt;-1,"",ROUND(F1192*IFERROR(INDEX(Stocuri!$G$5:$G$204,MATCH(D1192,Coduri,0)),0),2))</f>
        <v/>
      </c>
      <c r="N1192" s="19" t="str">
        <f t="shared" si="95"/>
        <v/>
      </c>
    </row>
    <row r="1193" spans="2:14" x14ac:dyDescent="0.2">
      <c r="B1193" s="15"/>
      <c r="C1193" s="6"/>
      <c r="D1193" s="12"/>
      <c r="E1193" s="10" t="str">
        <f t="shared" si="91"/>
        <v/>
      </c>
      <c r="F1193" s="16"/>
      <c r="G1193" s="13"/>
      <c r="H1193" s="6"/>
      <c r="I1193" s="6"/>
      <c r="J1193" s="11" t="str">
        <f t="shared" si="92"/>
        <v/>
      </c>
      <c r="K1193" s="17" t="str">
        <f t="shared" si="93"/>
        <v/>
      </c>
      <c r="L1193" s="18" t="str">
        <f t="shared" si="94"/>
        <v/>
      </c>
      <c r="M1193" s="18" t="str">
        <f>IF(J1193&lt;&gt;-1,"",ROUND(F1193*IFERROR(INDEX(Stocuri!$G$5:$G$204,MATCH(D1193,Coduri,0)),0),2))</f>
        <v/>
      </c>
      <c r="N1193" s="19" t="str">
        <f t="shared" si="95"/>
        <v/>
      </c>
    </row>
    <row r="1194" spans="2:14" x14ac:dyDescent="0.2">
      <c r="B1194" s="15"/>
      <c r="C1194" s="6"/>
      <c r="D1194" s="12"/>
      <c r="E1194" s="10" t="str">
        <f t="shared" si="91"/>
        <v/>
      </c>
      <c r="F1194" s="16"/>
      <c r="G1194" s="13"/>
      <c r="H1194" s="6"/>
      <c r="I1194" s="6"/>
      <c r="J1194" s="11" t="str">
        <f t="shared" si="92"/>
        <v/>
      </c>
      <c r="K1194" s="17" t="str">
        <f t="shared" si="93"/>
        <v/>
      </c>
      <c r="L1194" s="18" t="str">
        <f t="shared" si="94"/>
        <v/>
      </c>
      <c r="M1194" s="18" t="str">
        <f>IF(J1194&lt;&gt;-1,"",ROUND(F1194*IFERROR(INDEX(Stocuri!$G$5:$G$204,MATCH(D1194,Coduri,0)),0),2))</f>
        <v/>
      </c>
      <c r="N1194" s="19" t="str">
        <f t="shared" si="95"/>
        <v/>
      </c>
    </row>
    <row r="1195" spans="2:14" x14ac:dyDescent="0.2">
      <c r="B1195" s="15"/>
      <c r="C1195" s="6"/>
      <c r="D1195" s="12"/>
      <c r="E1195" s="10" t="str">
        <f t="shared" si="91"/>
        <v/>
      </c>
      <c r="F1195" s="16"/>
      <c r="G1195" s="13"/>
      <c r="H1195" s="6"/>
      <c r="I1195" s="6"/>
      <c r="J1195" s="11" t="str">
        <f t="shared" si="92"/>
        <v/>
      </c>
      <c r="K1195" s="17" t="str">
        <f t="shared" si="93"/>
        <v/>
      </c>
      <c r="L1195" s="18" t="str">
        <f t="shared" si="94"/>
        <v/>
      </c>
      <c r="M1195" s="18" t="str">
        <f>IF(J1195&lt;&gt;-1,"",ROUND(F1195*IFERROR(INDEX(Stocuri!$G$5:$G$204,MATCH(D1195,Coduri,0)),0),2))</f>
        <v/>
      </c>
      <c r="N1195" s="19" t="str">
        <f t="shared" si="95"/>
        <v/>
      </c>
    </row>
    <row r="1196" spans="2:14" x14ac:dyDescent="0.2">
      <c r="B1196" s="15"/>
      <c r="C1196" s="6"/>
      <c r="D1196" s="12"/>
      <c r="E1196" s="10" t="str">
        <f t="shared" si="91"/>
        <v/>
      </c>
      <c r="F1196" s="16"/>
      <c r="G1196" s="13"/>
      <c r="H1196" s="6"/>
      <c r="I1196" s="6"/>
      <c r="J1196" s="11" t="str">
        <f t="shared" si="92"/>
        <v/>
      </c>
      <c r="K1196" s="17" t="str">
        <f t="shared" si="93"/>
        <v/>
      </c>
      <c r="L1196" s="18" t="str">
        <f t="shared" si="94"/>
        <v/>
      </c>
      <c r="M1196" s="18" t="str">
        <f>IF(J1196&lt;&gt;-1,"",ROUND(F1196*IFERROR(INDEX(Stocuri!$G$5:$G$204,MATCH(D1196,Coduri,0)),0),2))</f>
        <v/>
      </c>
      <c r="N1196" s="19" t="str">
        <f t="shared" si="95"/>
        <v/>
      </c>
    </row>
    <row r="1197" spans="2:14" x14ac:dyDescent="0.2">
      <c r="B1197" s="15"/>
      <c r="C1197" s="6"/>
      <c r="D1197" s="12"/>
      <c r="E1197" s="10" t="str">
        <f t="shared" si="91"/>
        <v/>
      </c>
      <c r="F1197" s="16"/>
      <c r="G1197" s="13"/>
      <c r="H1197" s="6"/>
      <c r="I1197" s="6"/>
      <c r="J1197" s="11" t="str">
        <f t="shared" si="92"/>
        <v/>
      </c>
      <c r="K1197" s="17" t="str">
        <f t="shared" si="93"/>
        <v/>
      </c>
      <c r="L1197" s="18" t="str">
        <f t="shared" si="94"/>
        <v/>
      </c>
      <c r="M1197" s="18" t="str">
        <f>IF(J1197&lt;&gt;-1,"",ROUND(F1197*IFERROR(INDEX(Stocuri!$G$5:$G$204,MATCH(D1197,Coduri,0)),0),2))</f>
        <v/>
      </c>
      <c r="N1197" s="19" t="str">
        <f t="shared" si="95"/>
        <v/>
      </c>
    </row>
    <row r="1198" spans="2:14" x14ac:dyDescent="0.2">
      <c r="B1198" s="15"/>
      <c r="C1198" s="6"/>
      <c r="D1198" s="12"/>
      <c r="E1198" s="10" t="str">
        <f t="shared" si="91"/>
        <v/>
      </c>
      <c r="F1198" s="16"/>
      <c r="G1198" s="13"/>
      <c r="H1198" s="6"/>
      <c r="I1198" s="6"/>
      <c r="J1198" s="11" t="str">
        <f t="shared" si="92"/>
        <v/>
      </c>
      <c r="K1198" s="17" t="str">
        <f t="shared" si="93"/>
        <v/>
      </c>
      <c r="L1198" s="18" t="str">
        <f t="shared" si="94"/>
        <v/>
      </c>
      <c r="M1198" s="18" t="str">
        <f>IF(J1198&lt;&gt;-1,"",ROUND(F1198*IFERROR(INDEX(Stocuri!$G$5:$G$204,MATCH(D1198,Coduri,0)),0),2))</f>
        <v/>
      </c>
      <c r="N1198" s="19" t="str">
        <f t="shared" si="95"/>
        <v/>
      </c>
    </row>
    <row r="1199" spans="2:14" x14ac:dyDescent="0.2">
      <c r="B1199" s="15"/>
      <c r="C1199" s="6"/>
      <c r="D1199" s="12"/>
      <c r="E1199" s="10" t="str">
        <f t="shared" si="91"/>
        <v/>
      </c>
      <c r="F1199" s="16"/>
      <c r="G1199" s="13"/>
      <c r="H1199" s="6"/>
      <c r="I1199" s="6"/>
      <c r="J1199" s="11" t="str">
        <f t="shared" si="92"/>
        <v/>
      </c>
      <c r="K1199" s="17" t="str">
        <f t="shared" si="93"/>
        <v/>
      </c>
      <c r="L1199" s="18" t="str">
        <f t="shared" si="94"/>
        <v/>
      </c>
      <c r="M1199" s="18" t="str">
        <f>IF(J1199&lt;&gt;-1,"",ROUND(F1199*IFERROR(INDEX(Stocuri!$G$5:$G$204,MATCH(D1199,Coduri,0)),0),2))</f>
        <v/>
      </c>
      <c r="N1199" s="19" t="str">
        <f t="shared" si="95"/>
        <v/>
      </c>
    </row>
    <row r="1200" spans="2:14" x14ac:dyDescent="0.2">
      <c r="B1200" s="15"/>
      <c r="C1200" s="6"/>
      <c r="D1200" s="12"/>
      <c r="E1200" s="10" t="str">
        <f t="shared" si="91"/>
        <v/>
      </c>
      <c r="F1200" s="16"/>
      <c r="G1200" s="13"/>
      <c r="H1200" s="6"/>
      <c r="I1200" s="6"/>
      <c r="J1200" s="11" t="str">
        <f t="shared" si="92"/>
        <v/>
      </c>
      <c r="K1200" s="17" t="str">
        <f t="shared" si="93"/>
        <v/>
      </c>
      <c r="L1200" s="18" t="str">
        <f t="shared" si="94"/>
        <v/>
      </c>
      <c r="M1200" s="18" t="str">
        <f>IF(J1200&lt;&gt;-1,"",ROUND(F1200*IFERROR(INDEX(Stocuri!$G$5:$G$204,MATCH(D1200,Coduri,0)),0),2))</f>
        <v/>
      </c>
      <c r="N1200" s="19" t="str">
        <f t="shared" si="95"/>
        <v/>
      </c>
    </row>
    <row r="1201" spans="2:14" x14ac:dyDescent="0.2">
      <c r="B1201" s="15"/>
      <c r="C1201" s="6"/>
      <c r="D1201" s="12"/>
      <c r="E1201" s="10" t="str">
        <f t="shared" si="91"/>
        <v/>
      </c>
      <c r="F1201" s="16"/>
      <c r="G1201" s="13"/>
      <c r="H1201" s="6"/>
      <c r="I1201" s="6"/>
      <c r="J1201" s="11" t="str">
        <f t="shared" si="92"/>
        <v/>
      </c>
      <c r="K1201" s="17" t="str">
        <f t="shared" si="93"/>
        <v/>
      </c>
      <c r="L1201" s="18" t="str">
        <f t="shared" si="94"/>
        <v/>
      </c>
      <c r="M1201" s="18" t="str">
        <f>IF(J1201&lt;&gt;-1,"",ROUND(F1201*IFERROR(INDEX(Stocuri!$G$5:$G$204,MATCH(D1201,Coduri,0)),0),2))</f>
        <v/>
      </c>
      <c r="N1201" s="19" t="str">
        <f t="shared" si="95"/>
        <v/>
      </c>
    </row>
    <row r="1202" spans="2:14" x14ac:dyDescent="0.2">
      <c r="B1202" s="15"/>
      <c r="C1202" s="6"/>
      <c r="D1202" s="12"/>
      <c r="E1202" s="10" t="str">
        <f t="shared" si="91"/>
        <v/>
      </c>
      <c r="F1202" s="16"/>
      <c r="G1202" s="13"/>
      <c r="H1202" s="6"/>
      <c r="I1202" s="6"/>
      <c r="J1202" s="11" t="str">
        <f t="shared" si="92"/>
        <v/>
      </c>
      <c r="K1202" s="17" t="str">
        <f t="shared" si="93"/>
        <v/>
      </c>
      <c r="L1202" s="18" t="str">
        <f t="shared" si="94"/>
        <v/>
      </c>
      <c r="M1202" s="18" t="str">
        <f>IF(J1202&lt;&gt;-1,"",ROUND(F1202*IFERROR(INDEX(Stocuri!$G$5:$G$204,MATCH(D1202,Coduri,0)),0),2))</f>
        <v/>
      </c>
      <c r="N1202" s="19" t="str">
        <f t="shared" si="95"/>
        <v/>
      </c>
    </row>
    <row r="1203" spans="2:14" x14ac:dyDescent="0.2">
      <c r="B1203" s="15"/>
      <c r="C1203" s="6"/>
      <c r="D1203" s="12"/>
      <c r="E1203" s="10" t="str">
        <f t="shared" si="91"/>
        <v/>
      </c>
      <c r="F1203" s="16"/>
      <c r="G1203" s="13"/>
      <c r="H1203" s="6"/>
      <c r="I1203" s="6"/>
      <c r="J1203" s="11" t="str">
        <f t="shared" si="92"/>
        <v/>
      </c>
      <c r="K1203" s="17" t="str">
        <f t="shared" si="93"/>
        <v/>
      </c>
      <c r="L1203" s="18" t="str">
        <f t="shared" si="94"/>
        <v/>
      </c>
      <c r="M1203" s="18" t="str">
        <f>IF(J1203&lt;&gt;-1,"",ROUND(F1203*IFERROR(INDEX(Stocuri!$G$5:$G$204,MATCH(D1203,Coduri,0)),0),2))</f>
        <v/>
      </c>
      <c r="N1203" s="19" t="str">
        <f t="shared" si="95"/>
        <v/>
      </c>
    </row>
    <row r="1204" spans="2:14" x14ac:dyDescent="0.2">
      <c r="B1204" s="15"/>
      <c r="C1204" s="6"/>
      <c r="D1204" s="12"/>
      <c r="E1204" s="10" t="str">
        <f t="shared" si="91"/>
        <v/>
      </c>
      <c r="F1204" s="16"/>
      <c r="G1204" s="13"/>
      <c r="H1204" s="6"/>
      <c r="I1204" s="6"/>
      <c r="J1204" s="11" t="str">
        <f t="shared" si="92"/>
        <v/>
      </c>
      <c r="K1204" s="17" t="str">
        <f t="shared" si="93"/>
        <v/>
      </c>
      <c r="L1204" s="18" t="str">
        <f t="shared" si="94"/>
        <v/>
      </c>
      <c r="M1204" s="18" t="str">
        <f>IF(J1204&lt;&gt;-1,"",ROUND(F1204*IFERROR(INDEX(Stocuri!$G$5:$G$204,MATCH(D1204,Coduri,0)),0),2))</f>
        <v/>
      </c>
      <c r="N1204" s="19" t="str">
        <f t="shared" si="95"/>
        <v/>
      </c>
    </row>
    <row r="1205" spans="2:14" x14ac:dyDescent="0.2">
      <c r="B1205" s="15"/>
      <c r="C1205" s="6"/>
      <c r="D1205" s="12"/>
      <c r="E1205" s="10" t="str">
        <f t="shared" si="91"/>
        <v/>
      </c>
      <c r="F1205" s="16"/>
      <c r="G1205" s="13"/>
      <c r="H1205" s="6"/>
      <c r="I1205" s="6"/>
      <c r="J1205" s="11" t="str">
        <f t="shared" si="92"/>
        <v/>
      </c>
      <c r="K1205" s="17" t="str">
        <f t="shared" si="93"/>
        <v/>
      </c>
      <c r="L1205" s="18" t="str">
        <f t="shared" si="94"/>
        <v/>
      </c>
      <c r="M1205" s="18" t="str">
        <f>IF(J1205&lt;&gt;-1,"",ROUND(F1205*IFERROR(INDEX(Stocuri!$G$5:$G$204,MATCH(D1205,Coduri,0)),0),2))</f>
        <v/>
      </c>
      <c r="N1205" s="19" t="str">
        <f t="shared" si="95"/>
        <v/>
      </c>
    </row>
    <row r="1206" spans="2:14" x14ac:dyDescent="0.2">
      <c r="B1206" s="15"/>
      <c r="C1206" s="6"/>
      <c r="D1206" s="12"/>
      <c r="E1206" s="10" t="str">
        <f t="shared" si="91"/>
        <v/>
      </c>
      <c r="F1206" s="16"/>
      <c r="G1206" s="13"/>
      <c r="H1206" s="6"/>
      <c r="I1206" s="6"/>
      <c r="J1206" s="11" t="str">
        <f t="shared" si="92"/>
        <v/>
      </c>
      <c r="K1206" s="17" t="str">
        <f t="shared" si="93"/>
        <v/>
      </c>
      <c r="L1206" s="18" t="str">
        <f t="shared" si="94"/>
        <v/>
      </c>
      <c r="M1206" s="18" t="str">
        <f>IF(J1206&lt;&gt;-1,"",ROUND(F1206*IFERROR(INDEX(Stocuri!$G$5:$G$204,MATCH(D1206,Coduri,0)),0),2))</f>
        <v/>
      </c>
      <c r="N1206" s="19" t="str">
        <f t="shared" si="95"/>
        <v/>
      </c>
    </row>
    <row r="1207" spans="2:14" x14ac:dyDescent="0.2">
      <c r="B1207" s="15"/>
      <c r="C1207" s="6"/>
      <c r="D1207" s="12"/>
      <c r="E1207" s="10" t="str">
        <f t="shared" si="91"/>
        <v/>
      </c>
      <c r="F1207" s="16"/>
      <c r="G1207" s="13"/>
      <c r="H1207" s="6"/>
      <c r="I1207" s="6"/>
      <c r="J1207" s="11" t="str">
        <f t="shared" si="92"/>
        <v/>
      </c>
      <c r="K1207" s="17" t="str">
        <f t="shared" si="93"/>
        <v/>
      </c>
      <c r="L1207" s="18" t="str">
        <f t="shared" si="94"/>
        <v/>
      </c>
      <c r="M1207" s="18" t="str">
        <f>IF(J1207&lt;&gt;-1,"",ROUND(F1207*IFERROR(INDEX(Stocuri!$G$5:$G$204,MATCH(D1207,Coduri,0)),0),2))</f>
        <v/>
      </c>
      <c r="N1207" s="19" t="str">
        <f t="shared" si="95"/>
        <v/>
      </c>
    </row>
    <row r="1208" spans="2:14" x14ac:dyDescent="0.2">
      <c r="B1208" s="15"/>
      <c r="C1208" s="6"/>
      <c r="D1208" s="12"/>
      <c r="E1208" s="10" t="str">
        <f t="shared" si="91"/>
        <v/>
      </c>
      <c r="F1208" s="16"/>
      <c r="G1208" s="13"/>
      <c r="H1208" s="6"/>
      <c r="I1208" s="6"/>
      <c r="J1208" s="11" t="str">
        <f t="shared" si="92"/>
        <v/>
      </c>
      <c r="K1208" s="17" t="str">
        <f t="shared" si="93"/>
        <v/>
      </c>
      <c r="L1208" s="18" t="str">
        <f t="shared" si="94"/>
        <v/>
      </c>
      <c r="M1208" s="18" t="str">
        <f>IF(J1208&lt;&gt;-1,"",ROUND(F1208*IFERROR(INDEX(Stocuri!$G$5:$G$204,MATCH(D1208,Coduri,0)),0),2))</f>
        <v/>
      </c>
      <c r="N1208" s="19" t="str">
        <f t="shared" si="95"/>
        <v/>
      </c>
    </row>
    <row r="1209" spans="2:14" x14ac:dyDescent="0.2">
      <c r="B1209" s="15"/>
      <c r="C1209" s="6"/>
      <c r="D1209" s="12"/>
      <c r="E1209" s="10" t="str">
        <f t="shared" si="91"/>
        <v/>
      </c>
      <c r="F1209" s="16"/>
      <c r="G1209" s="13"/>
      <c r="H1209" s="6"/>
      <c r="I1209" s="6"/>
      <c r="J1209" s="11" t="str">
        <f t="shared" si="92"/>
        <v/>
      </c>
      <c r="K1209" s="17" t="str">
        <f t="shared" si="93"/>
        <v/>
      </c>
      <c r="L1209" s="18" t="str">
        <f t="shared" si="94"/>
        <v/>
      </c>
      <c r="M1209" s="18" t="str">
        <f>IF(J1209&lt;&gt;-1,"",ROUND(F1209*IFERROR(INDEX(Stocuri!$G$5:$G$204,MATCH(D1209,Coduri,0)),0),2))</f>
        <v/>
      </c>
      <c r="N1209" s="19" t="str">
        <f t="shared" si="95"/>
        <v/>
      </c>
    </row>
    <row r="1210" spans="2:14" x14ac:dyDescent="0.2">
      <c r="B1210" s="15"/>
      <c r="C1210" s="6"/>
      <c r="D1210" s="12"/>
      <c r="E1210" s="10" t="str">
        <f t="shared" si="91"/>
        <v/>
      </c>
      <c r="F1210" s="16"/>
      <c r="G1210" s="13"/>
      <c r="H1210" s="6"/>
      <c r="I1210" s="6"/>
      <c r="J1210" s="11" t="str">
        <f t="shared" si="92"/>
        <v/>
      </c>
      <c r="K1210" s="17" t="str">
        <f t="shared" si="93"/>
        <v/>
      </c>
      <c r="L1210" s="18" t="str">
        <f t="shared" si="94"/>
        <v/>
      </c>
      <c r="M1210" s="18" t="str">
        <f>IF(J1210&lt;&gt;-1,"",ROUND(F1210*IFERROR(INDEX(Stocuri!$G$5:$G$204,MATCH(D1210,Coduri,0)),0),2))</f>
        <v/>
      </c>
      <c r="N1210" s="19" t="str">
        <f t="shared" si="95"/>
        <v/>
      </c>
    </row>
    <row r="1211" spans="2:14" x14ac:dyDescent="0.2">
      <c r="B1211" s="15"/>
      <c r="C1211" s="6"/>
      <c r="D1211" s="12"/>
      <c r="E1211" s="10" t="str">
        <f t="shared" si="91"/>
        <v/>
      </c>
      <c r="F1211" s="16"/>
      <c r="G1211" s="13"/>
      <c r="H1211" s="6"/>
      <c r="I1211" s="6"/>
      <c r="J1211" s="11" t="str">
        <f t="shared" si="92"/>
        <v/>
      </c>
      <c r="K1211" s="17" t="str">
        <f t="shared" si="93"/>
        <v/>
      </c>
      <c r="L1211" s="18" t="str">
        <f t="shared" si="94"/>
        <v/>
      </c>
      <c r="M1211" s="18" t="str">
        <f>IF(J1211&lt;&gt;-1,"",ROUND(F1211*IFERROR(INDEX(Stocuri!$G$5:$G$204,MATCH(D1211,Coduri,0)),0),2))</f>
        <v/>
      </c>
      <c r="N1211" s="19" t="str">
        <f t="shared" si="95"/>
        <v/>
      </c>
    </row>
    <row r="1212" spans="2:14" x14ac:dyDescent="0.2">
      <c r="B1212" s="15"/>
      <c r="C1212" s="6"/>
      <c r="D1212" s="12"/>
      <c r="E1212" s="10" t="str">
        <f t="shared" si="91"/>
        <v/>
      </c>
      <c r="F1212" s="16"/>
      <c r="G1212" s="13"/>
      <c r="H1212" s="6"/>
      <c r="I1212" s="6"/>
      <c r="J1212" s="11" t="str">
        <f t="shared" si="92"/>
        <v/>
      </c>
      <c r="K1212" s="17" t="str">
        <f t="shared" si="93"/>
        <v/>
      </c>
      <c r="L1212" s="18" t="str">
        <f t="shared" si="94"/>
        <v/>
      </c>
      <c r="M1212" s="18" t="str">
        <f>IF(J1212&lt;&gt;-1,"",ROUND(F1212*IFERROR(INDEX(Stocuri!$G$5:$G$204,MATCH(D1212,Coduri,0)),0),2))</f>
        <v/>
      </c>
      <c r="N1212" s="19" t="str">
        <f t="shared" si="95"/>
        <v/>
      </c>
    </row>
    <row r="1213" spans="2:14" x14ac:dyDescent="0.2">
      <c r="B1213" s="15"/>
      <c r="C1213" s="6"/>
      <c r="D1213" s="12"/>
      <c r="E1213" s="10" t="str">
        <f t="shared" si="91"/>
        <v/>
      </c>
      <c r="F1213" s="16"/>
      <c r="G1213" s="13"/>
      <c r="H1213" s="6"/>
      <c r="I1213" s="6"/>
      <c r="J1213" s="11" t="str">
        <f t="shared" si="92"/>
        <v/>
      </c>
      <c r="K1213" s="17" t="str">
        <f t="shared" si="93"/>
        <v/>
      </c>
      <c r="L1213" s="18" t="str">
        <f t="shared" si="94"/>
        <v/>
      </c>
      <c r="M1213" s="18" t="str">
        <f>IF(J1213&lt;&gt;-1,"",ROUND(F1213*IFERROR(INDEX(Stocuri!$G$5:$G$204,MATCH(D1213,Coduri,0)),0),2))</f>
        <v/>
      </c>
      <c r="N1213" s="19" t="str">
        <f t="shared" si="95"/>
        <v/>
      </c>
    </row>
    <row r="1214" spans="2:14" x14ac:dyDescent="0.2">
      <c r="B1214" s="15"/>
      <c r="C1214" s="6"/>
      <c r="D1214" s="12"/>
      <c r="E1214" s="10" t="str">
        <f t="shared" si="91"/>
        <v/>
      </c>
      <c r="F1214" s="16"/>
      <c r="G1214" s="13"/>
      <c r="H1214" s="6"/>
      <c r="I1214" s="6"/>
      <c r="J1214" s="11" t="str">
        <f t="shared" si="92"/>
        <v/>
      </c>
      <c r="K1214" s="17" t="str">
        <f t="shared" si="93"/>
        <v/>
      </c>
      <c r="L1214" s="18" t="str">
        <f t="shared" si="94"/>
        <v/>
      </c>
      <c r="M1214" s="18" t="str">
        <f>IF(J1214&lt;&gt;-1,"",ROUND(F1214*IFERROR(INDEX(Stocuri!$G$5:$G$204,MATCH(D1214,Coduri,0)),0),2))</f>
        <v/>
      </c>
      <c r="N1214" s="19" t="str">
        <f t="shared" si="95"/>
        <v/>
      </c>
    </row>
    <row r="1215" spans="2:14" x14ac:dyDescent="0.2">
      <c r="B1215" s="15"/>
      <c r="C1215" s="6"/>
      <c r="D1215" s="12"/>
      <c r="E1215" s="10" t="str">
        <f t="shared" si="91"/>
        <v/>
      </c>
      <c r="F1215" s="16"/>
      <c r="G1215" s="13"/>
      <c r="H1215" s="6"/>
      <c r="I1215" s="6"/>
      <c r="J1215" s="11" t="str">
        <f t="shared" si="92"/>
        <v/>
      </c>
      <c r="K1215" s="17" t="str">
        <f t="shared" si="93"/>
        <v/>
      </c>
      <c r="L1215" s="18" t="str">
        <f t="shared" si="94"/>
        <v/>
      </c>
      <c r="M1215" s="18" t="str">
        <f>IF(J1215&lt;&gt;-1,"",ROUND(F1215*IFERROR(INDEX(Stocuri!$G$5:$G$204,MATCH(D1215,Coduri,0)),0),2))</f>
        <v/>
      </c>
      <c r="N1215" s="19" t="str">
        <f t="shared" si="95"/>
        <v/>
      </c>
    </row>
    <row r="1216" spans="2:14" x14ac:dyDescent="0.2">
      <c r="B1216" s="15"/>
      <c r="C1216" s="6"/>
      <c r="D1216" s="12"/>
      <c r="E1216" s="10" t="str">
        <f t="shared" si="91"/>
        <v/>
      </c>
      <c r="F1216" s="16"/>
      <c r="G1216" s="13"/>
      <c r="H1216" s="6"/>
      <c r="I1216" s="6"/>
      <c r="J1216" s="11" t="str">
        <f t="shared" si="92"/>
        <v/>
      </c>
      <c r="K1216" s="17" t="str">
        <f t="shared" si="93"/>
        <v/>
      </c>
      <c r="L1216" s="18" t="str">
        <f t="shared" si="94"/>
        <v/>
      </c>
      <c r="M1216" s="18" t="str">
        <f>IF(J1216&lt;&gt;-1,"",ROUND(F1216*IFERROR(INDEX(Stocuri!$G$5:$G$204,MATCH(D1216,Coduri,0)),0),2))</f>
        <v/>
      </c>
      <c r="N1216" s="19" t="str">
        <f t="shared" si="95"/>
        <v/>
      </c>
    </row>
    <row r="1217" spans="2:14" x14ac:dyDescent="0.2">
      <c r="B1217" s="15"/>
      <c r="C1217" s="6"/>
      <c r="D1217" s="12"/>
      <c r="E1217" s="10" t="str">
        <f t="shared" si="91"/>
        <v/>
      </c>
      <c r="F1217" s="16"/>
      <c r="G1217" s="13"/>
      <c r="H1217" s="6"/>
      <c r="I1217" s="6"/>
      <c r="J1217" s="11" t="str">
        <f t="shared" si="92"/>
        <v/>
      </c>
      <c r="K1217" s="17" t="str">
        <f t="shared" si="93"/>
        <v/>
      </c>
      <c r="L1217" s="18" t="str">
        <f t="shared" si="94"/>
        <v/>
      </c>
      <c r="M1217" s="18" t="str">
        <f>IF(J1217&lt;&gt;-1,"",ROUND(F1217*IFERROR(INDEX(Stocuri!$G$5:$G$204,MATCH(D1217,Coduri,0)),0),2))</f>
        <v/>
      </c>
      <c r="N1217" s="19" t="str">
        <f t="shared" si="95"/>
        <v/>
      </c>
    </row>
    <row r="1218" spans="2:14" x14ac:dyDescent="0.2">
      <c r="B1218" s="15"/>
      <c r="C1218" s="6"/>
      <c r="D1218" s="12"/>
      <c r="E1218" s="10" t="str">
        <f t="shared" si="91"/>
        <v/>
      </c>
      <c r="F1218" s="16"/>
      <c r="G1218" s="13"/>
      <c r="H1218" s="6"/>
      <c r="I1218" s="6"/>
      <c r="J1218" s="11" t="str">
        <f t="shared" si="92"/>
        <v/>
      </c>
      <c r="K1218" s="17" t="str">
        <f t="shared" si="93"/>
        <v/>
      </c>
      <c r="L1218" s="18" t="str">
        <f t="shared" si="94"/>
        <v/>
      </c>
      <c r="M1218" s="18" t="str">
        <f>IF(J1218&lt;&gt;-1,"",ROUND(F1218*IFERROR(INDEX(Stocuri!$G$5:$G$204,MATCH(D1218,Coduri,0)),0),2))</f>
        <v/>
      </c>
      <c r="N1218" s="19" t="str">
        <f t="shared" si="95"/>
        <v/>
      </c>
    </row>
    <row r="1219" spans="2:14" x14ac:dyDescent="0.2">
      <c r="B1219" s="15"/>
      <c r="C1219" s="6"/>
      <c r="D1219" s="12"/>
      <c r="E1219" s="10" t="str">
        <f t="shared" si="91"/>
        <v/>
      </c>
      <c r="F1219" s="16"/>
      <c r="G1219" s="13"/>
      <c r="H1219" s="6"/>
      <c r="I1219" s="6"/>
      <c r="J1219" s="11" t="str">
        <f t="shared" si="92"/>
        <v/>
      </c>
      <c r="K1219" s="17" t="str">
        <f t="shared" si="93"/>
        <v/>
      </c>
      <c r="L1219" s="18" t="str">
        <f t="shared" si="94"/>
        <v/>
      </c>
      <c r="M1219" s="18" t="str">
        <f>IF(J1219&lt;&gt;-1,"",ROUND(F1219*IFERROR(INDEX(Stocuri!$G$5:$G$204,MATCH(D1219,Coduri,0)),0),2))</f>
        <v/>
      </c>
      <c r="N1219" s="19" t="str">
        <f t="shared" si="95"/>
        <v/>
      </c>
    </row>
    <row r="1220" spans="2:14" x14ac:dyDescent="0.2">
      <c r="B1220" s="15"/>
      <c r="C1220" s="6"/>
      <c r="D1220" s="12"/>
      <c r="E1220" s="10" t="str">
        <f t="shared" si="91"/>
        <v/>
      </c>
      <c r="F1220" s="16"/>
      <c r="G1220" s="13"/>
      <c r="H1220" s="6"/>
      <c r="I1220" s="6"/>
      <c r="J1220" s="11" t="str">
        <f t="shared" si="92"/>
        <v/>
      </c>
      <c r="K1220" s="17" t="str">
        <f t="shared" si="93"/>
        <v/>
      </c>
      <c r="L1220" s="18" t="str">
        <f t="shared" si="94"/>
        <v/>
      </c>
      <c r="M1220" s="18" t="str">
        <f>IF(J1220&lt;&gt;-1,"",ROUND(F1220*IFERROR(INDEX(Stocuri!$G$5:$G$204,MATCH(D1220,Coduri,0)),0),2))</f>
        <v/>
      </c>
      <c r="N1220" s="19" t="str">
        <f t="shared" si="95"/>
        <v/>
      </c>
    </row>
    <row r="1221" spans="2:14" x14ac:dyDescent="0.2">
      <c r="B1221" s="15"/>
      <c r="C1221" s="6"/>
      <c r="D1221" s="12"/>
      <c r="E1221" s="10" t="str">
        <f t="shared" ref="E1221:E1284" si="96">IF(D1221="","",IFERROR(VLOOKUP(D1221,Catalog,2,FALSE),""))</f>
        <v/>
      </c>
      <c r="F1221" s="16"/>
      <c r="G1221" s="13"/>
      <c r="H1221" s="6"/>
      <c r="I1221" s="6"/>
      <c r="J1221" s="11" t="str">
        <f t="shared" ref="J1221:J1284" si="97">IF(C1221="","",IFERROR(VLOOKUP(C1221,TipSemn,2,FALSE),""))</f>
        <v/>
      </c>
      <c r="K1221" s="17" t="str">
        <f t="shared" ref="K1221:K1284" si="98">IF(OR(J1221="",F1221=""),"",J1221*F1221)</f>
        <v/>
      </c>
      <c r="L1221" s="18" t="str">
        <f t="shared" ref="L1221:L1284" si="99">IF(OR(J1221&lt;&gt;1,G1221=""),"",ROUND(F1221*G1221,2))</f>
        <v/>
      </c>
      <c r="M1221" s="18" t="str">
        <f>IF(J1221&lt;&gt;-1,"",ROUND(F1221*IFERROR(INDEX(Stocuri!$G$5:$G$204,MATCH(D1221,Coduri,0)),0),2))</f>
        <v/>
      </c>
      <c r="N1221" s="19" t="str">
        <f t="shared" ref="N1221:N1284" si="100">IF(AND(B1221="",D1221=""),"",TRIM(IF(OR(B1221="",C1221="",D1221="",F1221=""),"Date incomplete. ","")&amp;IF(AND(D1221&lt;&gt;"",E1221=""),"Cod necunoscut. ","")&amp;IF(AND(J1221=1,C1221&lt;&gt;"Retur de la client",C1221&lt;&gt;"Ajustare inventar +",G1221=""),"Lipsește prețul de intrare. ","")&amp;IF(AND(J1221=-1,D1221&lt;&gt;"",SUMIFS($K$5:$K$2004,$D$5:$D$2004,D1221,$B$5:$B$2004,"&lt;="&amp;B1221)&lt;0),"Stoc insuficient la această dată. ","")&amp;IF(AND(C1221&lt;&gt;"Stoc inițial",H1221=""),"Lipsește documentul. ","")))</f>
        <v/>
      </c>
    </row>
    <row r="1222" spans="2:14" x14ac:dyDescent="0.2">
      <c r="B1222" s="15"/>
      <c r="C1222" s="6"/>
      <c r="D1222" s="12"/>
      <c r="E1222" s="10" t="str">
        <f t="shared" si="96"/>
        <v/>
      </c>
      <c r="F1222" s="16"/>
      <c r="G1222" s="13"/>
      <c r="H1222" s="6"/>
      <c r="I1222" s="6"/>
      <c r="J1222" s="11" t="str">
        <f t="shared" si="97"/>
        <v/>
      </c>
      <c r="K1222" s="17" t="str">
        <f t="shared" si="98"/>
        <v/>
      </c>
      <c r="L1222" s="18" t="str">
        <f t="shared" si="99"/>
        <v/>
      </c>
      <c r="M1222" s="18" t="str">
        <f>IF(J1222&lt;&gt;-1,"",ROUND(F1222*IFERROR(INDEX(Stocuri!$G$5:$G$204,MATCH(D1222,Coduri,0)),0),2))</f>
        <v/>
      </c>
      <c r="N1222" s="19" t="str">
        <f t="shared" si="100"/>
        <v/>
      </c>
    </row>
    <row r="1223" spans="2:14" x14ac:dyDescent="0.2">
      <c r="B1223" s="15"/>
      <c r="C1223" s="6"/>
      <c r="D1223" s="12"/>
      <c r="E1223" s="10" t="str">
        <f t="shared" si="96"/>
        <v/>
      </c>
      <c r="F1223" s="16"/>
      <c r="G1223" s="13"/>
      <c r="H1223" s="6"/>
      <c r="I1223" s="6"/>
      <c r="J1223" s="11" t="str">
        <f t="shared" si="97"/>
        <v/>
      </c>
      <c r="K1223" s="17" t="str">
        <f t="shared" si="98"/>
        <v/>
      </c>
      <c r="L1223" s="18" t="str">
        <f t="shared" si="99"/>
        <v/>
      </c>
      <c r="M1223" s="18" t="str">
        <f>IF(J1223&lt;&gt;-1,"",ROUND(F1223*IFERROR(INDEX(Stocuri!$G$5:$G$204,MATCH(D1223,Coduri,0)),0),2))</f>
        <v/>
      </c>
      <c r="N1223" s="19" t="str">
        <f t="shared" si="100"/>
        <v/>
      </c>
    </row>
    <row r="1224" spans="2:14" x14ac:dyDescent="0.2">
      <c r="B1224" s="15"/>
      <c r="C1224" s="6"/>
      <c r="D1224" s="12"/>
      <c r="E1224" s="10" t="str">
        <f t="shared" si="96"/>
        <v/>
      </c>
      <c r="F1224" s="16"/>
      <c r="G1224" s="13"/>
      <c r="H1224" s="6"/>
      <c r="I1224" s="6"/>
      <c r="J1224" s="11" t="str">
        <f t="shared" si="97"/>
        <v/>
      </c>
      <c r="K1224" s="17" t="str">
        <f t="shared" si="98"/>
        <v/>
      </c>
      <c r="L1224" s="18" t="str">
        <f t="shared" si="99"/>
        <v/>
      </c>
      <c r="M1224" s="18" t="str">
        <f>IF(J1224&lt;&gt;-1,"",ROUND(F1224*IFERROR(INDEX(Stocuri!$G$5:$G$204,MATCH(D1224,Coduri,0)),0),2))</f>
        <v/>
      </c>
      <c r="N1224" s="19" t="str">
        <f t="shared" si="100"/>
        <v/>
      </c>
    </row>
    <row r="1225" spans="2:14" x14ac:dyDescent="0.2">
      <c r="B1225" s="15"/>
      <c r="C1225" s="6"/>
      <c r="D1225" s="12"/>
      <c r="E1225" s="10" t="str">
        <f t="shared" si="96"/>
        <v/>
      </c>
      <c r="F1225" s="16"/>
      <c r="G1225" s="13"/>
      <c r="H1225" s="6"/>
      <c r="I1225" s="6"/>
      <c r="J1225" s="11" t="str">
        <f t="shared" si="97"/>
        <v/>
      </c>
      <c r="K1225" s="17" t="str">
        <f t="shared" si="98"/>
        <v/>
      </c>
      <c r="L1225" s="18" t="str">
        <f t="shared" si="99"/>
        <v/>
      </c>
      <c r="M1225" s="18" t="str">
        <f>IF(J1225&lt;&gt;-1,"",ROUND(F1225*IFERROR(INDEX(Stocuri!$G$5:$G$204,MATCH(D1225,Coduri,0)),0),2))</f>
        <v/>
      </c>
      <c r="N1225" s="19" t="str">
        <f t="shared" si="100"/>
        <v/>
      </c>
    </row>
    <row r="1226" spans="2:14" x14ac:dyDescent="0.2">
      <c r="B1226" s="15"/>
      <c r="C1226" s="6"/>
      <c r="D1226" s="12"/>
      <c r="E1226" s="10" t="str">
        <f t="shared" si="96"/>
        <v/>
      </c>
      <c r="F1226" s="16"/>
      <c r="G1226" s="13"/>
      <c r="H1226" s="6"/>
      <c r="I1226" s="6"/>
      <c r="J1226" s="11" t="str">
        <f t="shared" si="97"/>
        <v/>
      </c>
      <c r="K1226" s="17" t="str">
        <f t="shared" si="98"/>
        <v/>
      </c>
      <c r="L1226" s="18" t="str">
        <f t="shared" si="99"/>
        <v/>
      </c>
      <c r="M1226" s="18" t="str">
        <f>IF(J1226&lt;&gt;-1,"",ROUND(F1226*IFERROR(INDEX(Stocuri!$G$5:$G$204,MATCH(D1226,Coduri,0)),0),2))</f>
        <v/>
      </c>
      <c r="N1226" s="19" t="str">
        <f t="shared" si="100"/>
        <v/>
      </c>
    </row>
    <row r="1227" spans="2:14" x14ac:dyDescent="0.2">
      <c r="B1227" s="15"/>
      <c r="C1227" s="6"/>
      <c r="D1227" s="12"/>
      <c r="E1227" s="10" t="str">
        <f t="shared" si="96"/>
        <v/>
      </c>
      <c r="F1227" s="16"/>
      <c r="G1227" s="13"/>
      <c r="H1227" s="6"/>
      <c r="I1227" s="6"/>
      <c r="J1227" s="11" t="str">
        <f t="shared" si="97"/>
        <v/>
      </c>
      <c r="K1227" s="17" t="str">
        <f t="shared" si="98"/>
        <v/>
      </c>
      <c r="L1227" s="18" t="str">
        <f t="shared" si="99"/>
        <v/>
      </c>
      <c r="M1227" s="18" t="str">
        <f>IF(J1227&lt;&gt;-1,"",ROUND(F1227*IFERROR(INDEX(Stocuri!$G$5:$G$204,MATCH(D1227,Coduri,0)),0),2))</f>
        <v/>
      </c>
      <c r="N1227" s="19" t="str">
        <f t="shared" si="100"/>
        <v/>
      </c>
    </row>
    <row r="1228" spans="2:14" x14ac:dyDescent="0.2">
      <c r="B1228" s="15"/>
      <c r="C1228" s="6"/>
      <c r="D1228" s="12"/>
      <c r="E1228" s="10" t="str">
        <f t="shared" si="96"/>
        <v/>
      </c>
      <c r="F1228" s="16"/>
      <c r="G1228" s="13"/>
      <c r="H1228" s="6"/>
      <c r="I1228" s="6"/>
      <c r="J1228" s="11" t="str">
        <f t="shared" si="97"/>
        <v/>
      </c>
      <c r="K1228" s="17" t="str">
        <f t="shared" si="98"/>
        <v/>
      </c>
      <c r="L1228" s="18" t="str">
        <f t="shared" si="99"/>
        <v/>
      </c>
      <c r="M1228" s="18" t="str">
        <f>IF(J1228&lt;&gt;-1,"",ROUND(F1228*IFERROR(INDEX(Stocuri!$G$5:$G$204,MATCH(D1228,Coduri,0)),0),2))</f>
        <v/>
      </c>
      <c r="N1228" s="19" t="str">
        <f t="shared" si="100"/>
        <v/>
      </c>
    </row>
    <row r="1229" spans="2:14" x14ac:dyDescent="0.2">
      <c r="B1229" s="15"/>
      <c r="C1229" s="6"/>
      <c r="D1229" s="12"/>
      <c r="E1229" s="10" t="str">
        <f t="shared" si="96"/>
        <v/>
      </c>
      <c r="F1229" s="16"/>
      <c r="G1229" s="13"/>
      <c r="H1229" s="6"/>
      <c r="I1229" s="6"/>
      <c r="J1229" s="11" t="str">
        <f t="shared" si="97"/>
        <v/>
      </c>
      <c r="K1229" s="17" t="str">
        <f t="shared" si="98"/>
        <v/>
      </c>
      <c r="L1229" s="18" t="str">
        <f t="shared" si="99"/>
        <v/>
      </c>
      <c r="M1229" s="18" t="str">
        <f>IF(J1229&lt;&gt;-1,"",ROUND(F1229*IFERROR(INDEX(Stocuri!$G$5:$G$204,MATCH(D1229,Coduri,0)),0),2))</f>
        <v/>
      </c>
      <c r="N1229" s="19" t="str">
        <f t="shared" si="100"/>
        <v/>
      </c>
    </row>
    <row r="1230" spans="2:14" x14ac:dyDescent="0.2">
      <c r="B1230" s="15"/>
      <c r="C1230" s="6"/>
      <c r="D1230" s="12"/>
      <c r="E1230" s="10" t="str">
        <f t="shared" si="96"/>
        <v/>
      </c>
      <c r="F1230" s="16"/>
      <c r="G1230" s="13"/>
      <c r="H1230" s="6"/>
      <c r="I1230" s="6"/>
      <c r="J1230" s="11" t="str">
        <f t="shared" si="97"/>
        <v/>
      </c>
      <c r="K1230" s="17" t="str">
        <f t="shared" si="98"/>
        <v/>
      </c>
      <c r="L1230" s="18" t="str">
        <f t="shared" si="99"/>
        <v/>
      </c>
      <c r="M1230" s="18" t="str">
        <f>IF(J1230&lt;&gt;-1,"",ROUND(F1230*IFERROR(INDEX(Stocuri!$G$5:$G$204,MATCH(D1230,Coduri,0)),0),2))</f>
        <v/>
      </c>
      <c r="N1230" s="19" t="str">
        <f t="shared" si="100"/>
        <v/>
      </c>
    </row>
    <row r="1231" spans="2:14" x14ac:dyDescent="0.2">
      <c r="B1231" s="15"/>
      <c r="C1231" s="6"/>
      <c r="D1231" s="12"/>
      <c r="E1231" s="10" t="str">
        <f t="shared" si="96"/>
        <v/>
      </c>
      <c r="F1231" s="16"/>
      <c r="G1231" s="13"/>
      <c r="H1231" s="6"/>
      <c r="I1231" s="6"/>
      <c r="J1231" s="11" t="str">
        <f t="shared" si="97"/>
        <v/>
      </c>
      <c r="K1231" s="17" t="str">
        <f t="shared" si="98"/>
        <v/>
      </c>
      <c r="L1231" s="18" t="str">
        <f t="shared" si="99"/>
        <v/>
      </c>
      <c r="M1231" s="18" t="str">
        <f>IF(J1231&lt;&gt;-1,"",ROUND(F1231*IFERROR(INDEX(Stocuri!$G$5:$G$204,MATCH(D1231,Coduri,0)),0),2))</f>
        <v/>
      </c>
      <c r="N1231" s="19" t="str">
        <f t="shared" si="100"/>
        <v/>
      </c>
    </row>
    <row r="1232" spans="2:14" x14ac:dyDescent="0.2">
      <c r="B1232" s="15"/>
      <c r="C1232" s="6"/>
      <c r="D1232" s="12"/>
      <c r="E1232" s="10" t="str">
        <f t="shared" si="96"/>
        <v/>
      </c>
      <c r="F1232" s="16"/>
      <c r="G1232" s="13"/>
      <c r="H1232" s="6"/>
      <c r="I1232" s="6"/>
      <c r="J1232" s="11" t="str">
        <f t="shared" si="97"/>
        <v/>
      </c>
      <c r="K1232" s="17" t="str">
        <f t="shared" si="98"/>
        <v/>
      </c>
      <c r="L1232" s="18" t="str">
        <f t="shared" si="99"/>
        <v/>
      </c>
      <c r="M1232" s="18" t="str">
        <f>IF(J1232&lt;&gt;-1,"",ROUND(F1232*IFERROR(INDEX(Stocuri!$G$5:$G$204,MATCH(D1232,Coduri,0)),0),2))</f>
        <v/>
      </c>
      <c r="N1232" s="19" t="str">
        <f t="shared" si="100"/>
        <v/>
      </c>
    </row>
    <row r="1233" spans="2:14" x14ac:dyDescent="0.2">
      <c r="B1233" s="15"/>
      <c r="C1233" s="6"/>
      <c r="D1233" s="12"/>
      <c r="E1233" s="10" t="str">
        <f t="shared" si="96"/>
        <v/>
      </c>
      <c r="F1233" s="16"/>
      <c r="G1233" s="13"/>
      <c r="H1233" s="6"/>
      <c r="I1233" s="6"/>
      <c r="J1233" s="11" t="str">
        <f t="shared" si="97"/>
        <v/>
      </c>
      <c r="K1233" s="17" t="str">
        <f t="shared" si="98"/>
        <v/>
      </c>
      <c r="L1233" s="18" t="str">
        <f t="shared" si="99"/>
        <v/>
      </c>
      <c r="M1233" s="18" t="str">
        <f>IF(J1233&lt;&gt;-1,"",ROUND(F1233*IFERROR(INDEX(Stocuri!$G$5:$G$204,MATCH(D1233,Coduri,0)),0),2))</f>
        <v/>
      </c>
      <c r="N1233" s="19" t="str">
        <f t="shared" si="100"/>
        <v/>
      </c>
    </row>
    <row r="1234" spans="2:14" x14ac:dyDescent="0.2">
      <c r="B1234" s="15"/>
      <c r="C1234" s="6"/>
      <c r="D1234" s="12"/>
      <c r="E1234" s="10" t="str">
        <f t="shared" si="96"/>
        <v/>
      </c>
      <c r="F1234" s="16"/>
      <c r="G1234" s="13"/>
      <c r="H1234" s="6"/>
      <c r="I1234" s="6"/>
      <c r="J1234" s="11" t="str">
        <f t="shared" si="97"/>
        <v/>
      </c>
      <c r="K1234" s="17" t="str">
        <f t="shared" si="98"/>
        <v/>
      </c>
      <c r="L1234" s="18" t="str">
        <f t="shared" si="99"/>
        <v/>
      </c>
      <c r="M1234" s="18" t="str">
        <f>IF(J1234&lt;&gt;-1,"",ROUND(F1234*IFERROR(INDEX(Stocuri!$G$5:$G$204,MATCH(D1234,Coduri,0)),0),2))</f>
        <v/>
      </c>
      <c r="N1234" s="19" t="str">
        <f t="shared" si="100"/>
        <v/>
      </c>
    </row>
    <row r="1235" spans="2:14" x14ac:dyDescent="0.2">
      <c r="B1235" s="15"/>
      <c r="C1235" s="6"/>
      <c r="D1235" s="12"/>
      <c r="E1235" s="10" t="str">
        <f t="shared" si="96"/>
        <v/>
      </c>
      <c r="F1235" s="16"/>
      <c r="G1235" s="13"/>
      <c r="H1235" s="6"/>
      <c r="I1235" s="6"/>
      <c r="J1235" s="11" t="str">
        <f t="shared" si="97"/>
        <v/>
      </c>
      <c r="K1235" s="17" t="str">
        <f t="shared" si="98"/>
        <v/>
      </c>
      <c r="L1235" s="18" t="str">
        <f t="shared" si="99"/>
        <v/>
      </c>
      <c r="M1235" s="18" t="str">
        <f>IF(J1235&lt;&gt;-1,"",ROUND(F1235*IFERROR(INDEX(Stocuri!$G$5:$G$204,MATCH(D1235,Coduri,0)),0),2))</f>
        <v/>
      </c>
      <c r="N1235" s="19" t="str">
        <f t="shared" si="100"/>
        <v/>
      </c>
    </row>
    <row r="1236" spans="2:14" x14ac:dyDescent="0.2">
      <c r="B1236" s="15"/>
      <c r="C1236" s="6"/>
      <c r="D1236" s="12"/>
      <c r="E1236" s="10" t="str">
        <f t="shared" si="96"/>
        <v/>
      </c>
      <c r="F1236" s="16"/>
      <c r="G1236" s="13"/>
      <c r="H1236" s="6"/>
      <c r="I1236" s="6"/>
      <c r="J1236" s="11" t="str">
        <f t="shared" si="97"/>
        <v/>
      </c>
      <c r="K1236" s="17" t="str">
        <f t="shared" si="98"/>
        <v/>
      </c>
      <c r="L1236" s="18" t="str">
        <f t="shared" si="99"/>
        <v/>
      </c>
      <c r="M1236" s="18" t="str">
        <f>IF(J1236&lt;&gt;-1,"",ROUND(F1236*IFERROR(INDEX(Stocuri!$G$5:$G$204,MATCH(D1236,Coduri,0)),0),2))</f>
        <v/>
      </c>
      <c r="N1236" s="19" t="str">
        <f t="shared" si="100"/>
        <v/>
      </c>
    </row>
    <row r="1237" spans="2:14" x14ac:dyDescent="0.2">
      <c r="B1237" s="15"/>
      <c r="C1237" s="6"/>
      <c r="D1237" s="12"/>
      <c r="E1237" s="10" t="str">
        <f t="shared" si="96"/>
        <v/>
      </c>
      <c r="F1237" s="16"/>
      <c r="G1237" s="13"/>
      <c r="H1237" s="6"/>
      <c r="I1237" s="6"/>
      <c r="J1237" s="11" t="str">
        <f t="shared" si="97"/>
        <v/>
      </c>
      <c r="K1237" s="17" t="str">
        <f t="shared" si="98"/>
        <v/>
      </c>
      <c r="L1237" s="18" t="str">
        <f t="shared" si="99"/>
        <v/>
      </c>
      <c r="M1237" s="18" t="str">
        <f>IF(J1237&lt;&gt;-1,"",ROUND(F1237*IFERROR(INDEX(Stocuri!$G$5:$G$204,MATCH(D1237,Coduri,0)),0),2))</f>
        <v/>
      </c>
      <c r="N1237" s="19" t="str">
        <f t="shared" si="100"/>
        <v/>
      </c>
    </row>
    <row r="1238" spans="2:14" x14ac:dyDescent="0.2">
      <c r="B1238" s="15"/>
      <c r="C1238" s="6"/>
      <c r="D1238" s="12"/>
      <c r="E1238" s="10" t="str">
        <f t="shared" si="96"/>
        <v/>
      </c>
      <c r="F1238" s="16"/>
      <c r="G1238" s="13"/>
      <c r="H1238" s="6"/>
      <c r="I1238" s="6"/>
      <c r="J1238" s="11" t="str">
        <f t="shared" si="97"/>
        <v/>
      </c>
      <c r="K1238" s="17" t="str">
        <f t="shared" si="98"/>
        <v/>
      </c>
      <c r="L1238" s="18" t="str">
        <f t="shared" si="99"/>
        <v/>
      </c>
      <c r="M1238" s="18" t="str">
        <f>IF(J1238&lt;&gt;-1,"",ROUND(F1238*IFERROR(INDEX(Stocuri!$G$5:$G$204,MATCH(D1238,Coduri,0)),0),2))</f>
        <v/>
      </c>
      <c r="N1238" s="19" t="str">
        <f t="shared" si="100"/>
        <v/>
      </c>
    </row>
    <row r="1239" spans="2:14" x14ac:dyDescent="0.2">
      <c r="B1239" s="15"/>
      <c r="C1239" s="6"/>
      <c r="D1239" s="12"/>
      <c r="E1239" s="10" t="str">
        <f t="shared" si="96"/>
        <v/>
      </c>
      <c r="F1239" s="16"/>
      <c r="G1239" s="13"/>
      <c r="H1239" s="6"/>
      <c r="I1239" s="6"/>
      <c r="J1239" s="11" t="str">
        <f t="shared" si="97"/>
        <v/>
      </c>
      <c r="K1239" s="17" t="str">
        <f t="shared" si="98"/>
        <v/>
      </c>
      <c r="L1239" s="18" t="str">
        <f t="shared" si="99"/>
        <v/>
      </c>
      <c r="M1239" s="18" t="str">
        <f>IF(J1239&lt;&gt;-1,"",ROUND(F1239*IFERROR(INDEX(Stocuri!$G$5:$G$204,MATCH(D1239,Coduri,0)),0),2))</f>
        <v/>
      </c>
      <c r="N1239" s="19" t="str">
        <f t="shared" si="100"/>
        <v/>
      </c>
    </row>
    <row r="1240" spans="2:14" x14ac:dyDescent="0.2">
      <c r="B1240" s="15"/>
      <c r="C1240" s="6"/>
      <c r="D1240" s="12"/>
      <c r="E1240" s="10" t="str">
        <f t="shared" si="96"/>
        <v/>
      </c>
      <c r="F1240" s="16"/>
      <c r="G1240" s="13"/>
      <c r="H1240" s="6"/>
      <c r="I1240" s="6"/>
      <c r="J1240" s="11" t="str">
        <f t="shared" si="97"/>
        <v/>
      </c>
      <c r="K1240" s="17" t="str">
        <f t="shared" si="98"/>
        <v/>
      </c>
      <c r="L1240" s="18" t="str">
        <f t="shared" si="99"/>
        <v/>
      </c>
      <c r="M1240" s="18" t="str">
        <f>IF(J1240&lt;&gt;-1,"",ROUND(F1240*IFERROR(INDEX(Stocuri!$G$5:$G$204,MATCH(D1240,Coduri,0)),0),2))</f>
        <v/>
      </c>
      <c r="N1240" s="19" t="str">
        <f t="shared" si="100"/>
        <v/>
      </c>
    </row>
    <row r="1241" spans="2:14" x14ac:dyDescent="0.2">
      <c r="B1241" s="15"/>
      <c r="C1241" s="6"/>
      <c r="D1241" s="12"/>
      <c r="E1241" s="10" t="str">
        <f t="shared" si="96"/>
        <v/>
      </c>
      <c r="F1241" s="16"/>
      <c r="G1241" s="13"/>
      <c r="H1241" s="6"/>
      <c r="I1241" s="6"/>
      <c r="J1241" s="11" t="str">
        <f t="shared" si="97"/>
        <v/>
      </c>
      <c r="K1241" s="17" t="str">
        <f t="shared" si="98"/>
        <v/>
      </c>
      <c r="L1241" s="18" t="str">
        <f t="shared" si="99"/>
        <v/>
      </c>
      <c r="M1241" s="18" t="str">
        <f>IF(J1241&lt;&gt;-1,"",ROUND(F1241*IFERROR(INDEX(Stocuri!$G$5:$G$204,MATCH(D1241,Coduri,0)),0),2))</f>
        <v/>
      </c>
      <c r="N1241" s="19" t="str">
        <f t="shared" si="100"/>
        <v/>
      </c>
    </row>
    <row r="1242" spans="2:14" x14ac:dyDescent="0.2">
      <c r="B1242" s="15"/>
      <c r="C1242" s="6"/>
      <c r="D1242" s="12"/>
      <c r="E1242" s="10" t="str">
        <f t="shared" si="96"/>
        <v/>
      </c>
      <c r="F1242" s="16"/>
      <c r="G1242" s="13"/>
      <c r="H1242" s="6"/>
      <c r="I1242" s="6"/>
      <c r="J1242" s="11" t="str">
        <f t="shared" si="97"/>
        <v/>
      </c>
      <c r="K1242" s="17" t="str">
        <f t="shared" si="98"/>
        <v/>
      </c>
      <c r="L1242" s="18" t="str">
        <f t="shared" si="99"/>
        <v/>
      </c>
      <c r="M1242" s="18" t="str">
        <f>IF(J1242&lt;&gt;-1,"",ROUND(F1242*IFERROR(INDEX(Stocuri!$G$5:$G$204,MATCH(D1242,Coduri,0)),0),2))</f>
        <v/>
      </c>
      <c r="N1242" s="19" t="str">
        <f t="shared" si="100"/>
        <v/>
      </c>
    </row>
    <row r="1243" spans="2:14" x14ac:dyDescent="0.2">
      <c r="B1243" s="15"/>
      <c r="C1243" s="6"/>
      <c r="D1243" s="12"/>
      <c r="E1243" s="10" t="str">
        <f t="shared" si="96"/>
        <v/>
      </c>
      <c r="F1243" s="16"/>
      <c r="G1243" s="13"/>
      <c r="H1243" s="6"/>
      <c r="I1243" s="6"/>
      <c r="J1243" s="11" t="str">
        <f t="shared" si="97"/>
        <v/>
      </c>
      <c r="K1243" s="17" t="str">
        <f t="shared" si="98"/>
        <v/>
      </c>
      <c r="L1243" s="18" t="str">
        <f t="shared" si="99"/>
        <v/>
      </c>
      <c r="M1243" s="18" t="str">
        <f>IF(J1243&lt;&gt;-1,"",ROUND(F1243*IFERROR(INDEX(Stocuri!$G$5:$G$204,MATCH(D1243,Coduri,0)),0),2))</f>
        <v/>
      </c>
      <c r="N1243" s="19" t="str">
        <f t="shared" si="100"/>
        <v/>
      </c>
    </row>
    <row r="1244" spans="2:14" x14ac:dyDescent="0.2">
      <c r="B1244" s="15"/>
      <c r="C1244" s="6"/>
      <c r="D1244" s="12"/>
      <c r="E1244" s="10" t="str">
        <f t="shared" si="96"/>
        <v/>
      </c>
      <c r="F1244" s="16"/>
      <c r="G1244" s="13"/>
      <c r="H1244" s="6"/>
      <c r="I1244" s="6"/>
      <c r="J1244" s="11" t="str">
        <f t="shared" si="97"/>
        <v/>
      </c>
      <c r="K1244" s="17" t="str">
        <f t="shared" si="98"/>
        <v/>
      </c>
      <c r="L1244" s="18" t="str">
        <f t="shared" si="99"/>
        <v/>
      </c>
      <c r="M1244" s="18" t="str">
        <f>IF(J1244&lt;&gt;-1,"",ROUND(F1244*IFERROR(INDEX(Stocuri!$G$5:$G$204,MATCH(D1244,Coduri,0)),0),2))</f>
        <v/>
      </c>
      <c r="N1244" s="19" t="str">
        <f t="shared" si="100"/>
        <v/>
      </c>
    </row>
    <row r="1245" spans="2:14" x14ac:dyDescent="0.2">
      <c r="B1245" s="15"/>
      <c r="C1245" s="6"/>
      <c r="D1245" s="12"/>
      <c r="E1245" s="10" t="str">
        <f t="shared" si="96"/>
        <v/>
      </c>
      <c r="F1245" s="16"/>
      <c r="G1245" s="13"/>
      <c r="H1245" s="6"/>
      <c r="I1245" s="6"/>
      <c r="J1245" s="11" t="str">
        <f t="shared" si="97"/>
        <v/>
      </c>
      <c r="K1245" s="17" t="str">
        <f t="shared" si="98"/>
        <v/>
      </c>
      <c r="L1245" s="18" t="str">
        <f t="shared" si="99"/>
        <v/>
      </c>
      <c r="M1245" s="18" t="str">
        <f>IF(J1245&lt;&gt;-1,"",ROUND(F1245*IFERROR(INDEX(Stocuri!$G$5:$G$204,MATCH(D1245,Coduri,0)),0),2))</f>
        <v/>
      </c>
      <c r="N1245" s="19" t="str">
        <f t="shared" si="100"/>
        <v/>
      </c>
    </row>
    <row r="1246" spans="2:14" x14ac:dyDescent="0.2">
      <c r="B1246" s="15"/>
      <c r="C1246" s="6"/>
      <c r="D1246" s="12"/>
      <c r="E1246" s="10" t="str">
        <f t="shared" si="96"/>
        <v/>
      </c>
      <c r="F1246" s="16"/>
      <c r="G1246" s="13"/>
      <c r="H1246" s="6"/>
      <c r="I1246" s="6"/>
      <c r="J1246" s="11" t="str">
        <f t="shared" si="97"/>
        <v/>
      </c>
      <c r="K1246" s="17" t="str">
        <f t="shared" si="98"/>
        <v/>
      </c>
      <c r="L1246" s="18" t="str">
        <f t="shared" si="99"/>
        <v/>
      </c>
      <c r="M1246" s="18" t="str">
        <f>IF(J1246&lt;&gt;-1,"",ROUND(F1246*IFERROR(INDEX(Stocuri!$G$5:$G$204,MATCH(D1246,Coduri,0)),0),2))</f>
        <v/>
      </c>
      <c r="N1246" s="19" t="str">
        <f t="shared" si="100"/>
        <v/>
      </c>
    </row>
    <row r="1247" spans="2:14" x14ac:dyDescent="0.2">
      <c r="B1247" s="15"/>
      <c r="C1247" s="6"/>
      <c r="D1247" s="12"/>
      <c r="E1247" s="10" t="str">
        <f t="shared" si="96"/>
        <v/>
      </c>
      <c r="F1247" s="16"/>
      <c r="G1247" s="13"/>
      <c r="H1247" s="6"/>
      <c r="I1247" s="6"/>
      <c r="J1247" s="11" t="str">
        <f t="shared" si="97"/>
        <v/>
      </c>
      <c r="K1247" s="17" t="str">
        <f t="shared" si="98"/>
        <v/>
      </c>
      <c r="L1247" s="18" t="str">
        <f t="shared" si="99"/>
        <v/>
      </c>
      <c r="M1247" s="18" t="str">
        <f>IF(J1247&lt;&gt;-1,"",ROUND(F1247*IFERROR(INDEX(Stocuri!$G$5:$G$204,MATCH(D1247,Coduri,0)),0),2))</f>
        <v/>
      </c>
      <c r="N1247" s="19" t="str">
        <f t="shared" si="100"/>
        <v/>
      </c>
    </row>
    <row r="1248" spans="2:14" x14ac:dyDescent="0.2">
      <c r="B1248" s="15"/>
      <c r="C1248" s="6"/>
      <c r="D1248" s="12"/>
      <c r="E1248" s="10" t="str">
        <f t="shared" si="96"/>
        <v/>
      </c>
      <c r="F1248" s="16"/>
      <c r="G1248" s="13"/>
      <c r="H1248" s="6"/>
      <c r="I1248" s="6"/>
      <c r="J1248" s="11" t="str">
        <f t="shared" si="97"/>
        <v/>
      </c>
      <c r="K1248" s="17" t="str">
        <f t="shared" si="98"/>
        <v/>
      </c>
      <c r="L1248" s="18" t="str">
        <f t="shared" si="99"/>
        <v/>
      </c>
      <c r="M1248" s="18" t="str">
        <f>IF(J1248&lt;&gt;-1,"",ROUND(F1248*IFERROR(INDEX(Stocuri!$G$5:$G$204,MATCH(D1248,Coduri,0)),0),2))</f>
        <v/>
      </c>
      <c r="N1248" s="19" t="str">
        <f t="shared" si="100"/>
        <v/>
      </c>
    </row>
    <row r="1249" spans="2:14" x14ac:dyDescent="0.2">
      <c r="B1249" s="15"/>
      <c r="C1249" s="6"/>
      <c r="D1249" s="12"/>
      <c r="E1249" s="10" t="str">
        <f t="shared" si="96"/>
        <v/>
      </c>
      <c r="F1249" s="16"/>
      <c r="G1249" s="13"/>
      <c r="H1249" s="6"/>
      <c r="I1249" s="6"/>
      <c r="J1249" s="11" t="str">
        <f t="shared" si="97"/>
        <v/>
      </c>
      <c r="K1249" s="17" t="str">
        <f t="shared" si="98"/>
        <v/>
      </c>
      <c r="L1249" s="18" t="str">
        <f t="shared" si="99"/>
        <v/>
      </c>
      <c r="M1249" s="18" t="str">
        <f>IF(J1249&lt;&gt;-1,"",ROUND(F1249*IFERROR(INDEX(Stocuri!$G$5:$G$204,MATCH(D1249,Coduri,0)),0),2))</f>
        <v/>
      </c>
      <c r="N1249" s="19" t="str">
        <f t="shared" si="100"/>
        <v/>
      </c>
    </row>
    <row r="1250" spans="2:14" x14ac:dyDescent="0.2">
      <c r="B1250" s="15"/>
      <c r="C1250" s="6"/>
      <c r="D1250" s="12"/>
      <c r="E1250" s="10" t="str">
        <f t="shared" si="96"/>
        <v/>
      </c>
      <c r="F1250" s="16"/>
      <c r="G1250" s="13"/>
      <c r="H1250" s="6"/>
      <c r="I1250" s="6"/>
      <c r="J1250" s="11" t="str">
        <f t="shared" si="97"/>
        <v/>
      </c>
      <c r="K1250" s="17" t="str">
        <f t="shared" si="98"/>
        <v/>
      </c>
      <c r="L1250" s="18" t="str">
        <f t="shared" si="99"/>
        <v/>
      </c>
      <c r="M1250" s="18" t="str">
        <f>IF(J1250&lt;&gt;-1,"",ROUND(F1250*IFERROR(INDEX(Stocuri!$G$5:$G$204,MATCH(D1250,Coduri,0)),0),2))</f>
        <v/>
      </c>
      <c r="N1250" s="19" t="str">
        <f t="shared" si="100"/>
        <v/>
      </c>
    </row>
    <row r="1251" spans="2:14" x14ac:dyDescent="0.2">
      <c r="B1251" s="15"/>
      <c r="C1251" s="6"/>
      <c r="D1251" s="12"/>
      <c r="E1251" s="10" t="str">
        <f t="shared" si="96"/>
        <v/>
      </c>
      <c r="F1251" s="16"/>
      <c r="G1251" s="13"/>
      <c r="H1251" s="6"/>
      <c r="I1251" s="6"/>
      <c r="J1251" s="11" t="str">
        <f t="shared" si="97"/>
        <v/>
      </c>
      <c r="K1251" s="17" t="str">
        <f t="shared" si="98"/>
        <v/>
      </c>
      <c r="L1251" s="18" t="str">
        <f t="shared" si="99"/>
        <v/>
      </c>
      <c r="M1251" s="18" t="str">
        <f>IF(J1251&lt;&gt;-1,"",ROUND(F1251*IFERROR(INDEX(Stocuri!$G$5:$G$204,MATCH(D1251,Coduri,0)),0),2))</f>
        <v/>
      </c>
      <c r="N1251" s="19" t="str">
        <f t="shared" si="100"/>
        <v/>
      </c>
    </row>
    <row r="1252" spans="2:14" x14ac:dyDescent="0.2">
      <c r="B1252" s="15"/>
      <c r="C1252" s="6"/>
      <c r="D1252" s="12"/>
      <c r="E1252" s="10" t="str">
        <f t="shared" si="96"/>
        <v/>
      </c>
      <c r="F1252" s="16"/>
      <c r="G1252" s="13"/>
      <c r="H1252" s="6"/>
      <c r="I1252" s="6"/>
      <c r="J1252" s="11" t="str">
        <f t="shared" si="97"/>
        <v/>
      </c>
      <c r="K1252" s="17" t="str">
        <f t="shared" si="98"/>
        <v/>
      </c>
      <c r="L1252" s="18" t="str">
        <f t="shared" si="99"/>
        <v/>
      </c>
      <c r="M1252" s="18" t="str">
        <f>IF(J1252&lt;&gt;-1,"",ROUND(F1252*IFERROR(INDEX(Stocuri!$G$5:$G$204,MATCH(D1252,Coduri,0)),0),2))</f>
        <v/>
      </c>
      <c r="N1252" s="19" t="str">
        <f t="shared" si="100"/>
        <v/>
      </c>
    </row>
    <row r="1253" spans="2:14" x14ac:dyDescent="0.2">
      <c r="B1253" s="15"/>
      <c r="C1253" s="6"/>
      <c r="D1253" s="12"/>
      <c r="E1253" s="10" t="str">
        <f t="shared" si="96"/>
        <v/>
      </c>
      <c r="F1253" s="16"/>
      <c r="G1253" s="13"/>
      <c r="H1253" s="6"/>
      <c r="I1253" s="6"/>
      <c r="J1253" s="11" t="str">
        <f t="shared" si="97"/>
        <v/>
      </c>
      <c r="K1253" s="17" t="str">
        <f t="shared" si="98"/>
        <v/>
      </c>
      <c r="L1253" s="18" t="str">
        <f t="shared" si="99"/>
        <v/>
      </c>
      <c r="M1253" s="18" t="str">
        <f>IF(J1253&lt;&gt;-1,"",ROUND(F1253*IFERROR(INDEX(Stocuri!$G$5:$G$204,MATCH(D1253,Coduri,0)),0),2))</f>
        <v/>
      </c>
      <c r="N1253" s="19" t="str">
        <f t="shared" si="100"/>
        <v/>
      </c>
    </row>
    <row r="1254" spans="2:14" x14ac:dyDescent="0.2">
      <c r="B1254" s="15"/>
      <c r="C1254" s="6"/>
      <c r="D1254" s="12"/>
      <c r="E1254" s="10" t="str">
        <f t="shared" si="96"/>
        <v/>
      </c>
      <c r="F1254" s="16"/>
      <c r="G1254" s="13"/>
      <c r="H1254" s="6"/>
      <c r="I1254" s="6"/>
      <c r="J1254" s="11" t="str">
        <f t="shared" si="97"/>
        <v/>
      </c>
      <c r="K1254" s="17" t="str">
        <f t="shared" si="98"/>
        <v/>
      </c>
      <c r="L1254" s="18" t="str">
        <f t="shared" si="99"/>
        <v/>
      </c>
      <c r="M1254" s="18" t="str">
        <f>IF(J1254&lt;&gt;-1,"",ROUND(F1254*IFERROR(INDEX(Stocuri!$G$5:$G$204,MATCH(D1254,Coduri,0)),0),2))</f>
        <v/>
      </c>
      <c r="N1254" s="19" t="str">
        <f t="shared" si="100"/>
        <v/>
      </c>
    </row>
    <row r="1255" spans="2:14" x14ac:dyDescent="0.2">
      <c r="B1255" s="15"/>
      <c r="C1255" s="6"/>
      <c r="D1255" s="12"/>
      <c r="E1255" s="10" t="str">
        <f t="shared" si="96"/>
        <v/>
      </c>
      <c r="F1255" s="16"/>
      <c r="G1255" s="13"/>
      <c r="H1255" s="6"/>
      <c r="I1255" s="6"/>
      <c r="J1255" s="11" t="str">
        <f t="shared" si="97"/>
        <v/>
      </c>
      <c r="K1255" s="17" t="str">
        <f t="shared" si="98"/>
        <v/>
      </c>
      <c r="L1255" s="18" t="str">
        <f t="shared" si="99"/>
        <v/>
      </c>
      <c r="M1255" s="18" t="str">
        <f>IF(J1255&lt;&gt;-1,"",ROUND(F1255*IFERROR(INDEX(Stocuri!$G$5:$G$204,MATCH(D1255,Coduri,0)),0),2))</f>
        <v/>
      </c>
      <c r="N1255" s="19" t="str">
        <f t="shared" si="100"/>
        <v/>
      </c>
    </row>
    <row r="1256" spans="2:14" x14ac:dyDescent="0.2">
      <c r="B1256" s="15"/>
      <c r="C1256" s="6"/>
      <c r="D1256" s="12"/>
      <c r="E1256" s="10" t="str">
        <f t="shared" si="96"/>
        <v/>
      </c>
      <c r="F1256" s="16"/>
      <c r="G1256" s="13"/>
      <c r="H1256" s="6"/>
      <c r="I1256" s="6"/>
      <c r="J1256" s="11" t="str">
        <f t="shared" si="97"/>
        <v/>
      </c>
      <c r="K1256" s="17" t="str">
        <f t="shared" si="98"/>
        <v/>
      </c>
      <c r="L1256" s="18" t="str">
        <f t="shared" si="99"/>
        <v/>
      </c>
      <c r="M1256" s="18" t="str">
        <f>IF(J1256&lt;&gt;-1,"",ROUND(F1256*IFERROR(INDEX(Stocuri!$G$5:$G$204,MATCH(D1256,Coduri,0)),0),2))</f>
        <v/>
      </c>
      <c r="N1256" s="19" t="str">
        <f t="shared" si="100"/>
        <v/>
      </c>
    </row>
    <row r="1257" spans="2:14" x14ac:dyDescent="0.2">
      <c r="B1257" s="15"/>
      <c r="C1257" s="6"/>
      <c r="D1257" s="12"/>
      <c r="E1257" s="10" t="str">
        <f t="shared" si="96"/>
        <v/>
      </c>
      <c r="F1257" s="16"/>
      <c r="G1257" s="13"/>
      <c r="H1257" s="6"/>
      <c r="I1257" s="6"/>
      <c r="J1257" s="11" t="str">
        <f t="shared" si="97"/>
        <v/>
      </c>
      <c r="K1257" s="17" t="str">
        <f t="shared" si="98"/>
        <v/>
      </c>
      <c r="L1257" s="18" t="str">
        <f t="shared" si="99"/>
        <v/>
      </c>
      <c r="M1257" s="18" t="str">
        <f>IF(J1257&lt;&gt;-1,"",ROUND(F1257*IFERROR(INDEX(Stocuri!$G$5:$G$204,MATCH(D1257,Coduri,0)),0),2))</f>
        <v/>
      </c>
      <c r="N1257" s="19" t="str">
        <f t="shared" si="100"/>
        <v/>
      </c>
    </row>
    <row r="1258" spans="2:14" x14ac:dyDescent="0.2">
      <c r="B1258" s="15"/>
      <c r="C1258" s="6"/>
      <c r="D1258" s="12"/>
      <c r="E1258" s="10" t="str">
        <f t="shared" si="96"/>
        <v/>
      </c>
      <c r="F1258" s="16"/>
      <c r="G1258" s="13"/>
      <c r="H1258" s="6"/>
      <c r="I1258" s="6"/>
      <c r="J1258" s="11" t="str">
        <f t="shared" si="97"/>
        <v/>
      </c>
      <c r="K1258" s="17" t="str">
        <f t="shared" si="98"/>
        <v/>
      </c>
      <c r="L1258" s="18" t="str">
        <f t="shared" si="99"/>
        <v/>
      </c>
      <c r="M1258" s="18" t="str">
        <f>IF(J1258&lt;&gt;-1,"",ROUND(F1258*IFERROR(INDEX(Stocuri!$G$5:$G$204,MATCH(D1258,Coduri,0)),0),2))</f>
        <v/>
      </c>
      <c r="N1258" s="19" t="str">
        <f t="shared" si="100"/>
        <v/>
      </c>
    </row>
    <row r="1259" spans="2:14" x14ac:dyDescent="0.2">
      <c r="B1259" s="15"/>
      <c r="C1259" s="6"/>
      <c r="D1259" s="12"/>
      <c r="E1259" s="10" t="str">
        <f t="shared" si="96"/>
        <v/>
      </c>
      <c r="F1259" s="16"/>
      <c r="G1259" s="13"/>
      <c r="H1259" s="6"/>
      <c r="I1259" s="6"/>
      <c r="J1259" s="11" t="str">
        <f t="shared" si="97"/>
        <v/>
      </c>
      <c r="K1259" s="17" t="str">
        <f t="shared" si="98"/>
        <v/>
      </c>
      <c r="L1259" s="18" t="str">
        <f t="shared" si="99"/>
        <v/>
      </c>
      <c r="M1259" s="18" t="str">
        <f>IF(J1259&lt;&gt;-1,"",ROUND(F1259*IFERROR(INDEX(Stocuri!$G$5:$G$204,MATCH(D1259,Coduri,0)),0),2))</f>
        <v/>
      </c>
      <c r="N1259" s="19" t="str">
        <f t="shared" si="100"/>
        <v/>
      </c>
    </row>
    <row r="1260" spans="2:14" x14ac:dyDescent="0.2">
      <c r="B1260" s="15"/>
      <c r="C1260" s="6"/>
      <c r="D1260" s="12"/>
      <c r="E1260" s="10" t="str">
        <f t="shared" si="96"/>
        <v/>
      </c>
      <c r="F1260" s="16"/>
      <c r="G1260" s="13"/>
      <c r="H1260" s="6"/>
      <c r="I1260" s="6"/>
      <c r="J1260" s="11" t="str">
        <f t="shared" si="97"/>
        <v/>
      </c>
      <c r="K1260" s="17" t="str">
        <f t="shared" si="98"/>
        <v/>
      </c>
      <c r="L1260" s="18" t="str">
        <f t="shared" si="99"/>
        <v/>
      </c>
      <c r="M1260" s="18" t="str">
        <f>IF(J1260&lt;&gt;-1,"",ROUND(F1260*IFERROR(INDEX(Stocuri!$G$5:$G$204,MATCH(D1260,Coduri,0)),0),2))</f>
        <v/>
      </c>
      <c r="N1260" s="19" t="str">
        <f t="shared" si="100"/>
        <v/>
      </c>
    </row>
    <row r="1261" spans="2:14" x14ac:dyDescent="0.2">
      <c r="B1261" s="15"/>
      <c r="C1261" s="6"/>
      <c r="D1261" s="12"/>
      <c r="E1261" s="10" t="str">
        <f t="shared" si="96"/>
        <v/>
      </c>
      <c r="F1261" s="16"/>
      <c r="G1261" s="13"/>
      <c r="H1261" s="6"/>
      <c r="I1261" s="6"/>
      <c r="J1261" s="11" t="str">
        <f t="shared" si="97"/>
        <v/>
      </c>
      <c r="K1261" s="17" t="str">
        <f t="shared" si="98"/>
        <v/>
      </c>
      <c r="L1261" s="18" t="str">
        <f t="shared" si="99"/>
        <v/>
      </c>
      <c r="M1261" s="18" t="str">
        <f>IF(J1261&lt;&gt;-1,"",ROUND(F1261*IFERROR(INDEX(Stocuri!$G$5:$G$204,MATCH(D1261,Coduri,0)),0),2))</f>
        <v/>
      </c>
      <c r="N1261" s="19" t="str">
        <f t="shared" si="100"/>
        <v/>
      </c>
    </row>
    <row r="1262" spans="2:14" x14ac:dyDescent="0.2">
      <c r="B1262" s="15"/>
      <c r="C1262" s="6"/>
      <c r="D1262" s="12"/>
      <c r="E1262" s="10" t="str">
        <f t="shared" si="96"/>
        <v/>
      </c>
      <c r="F1262" s="16"/>
      <c r="G1262" s="13"/>
      <c r="H1262" s="6"/>
      <c r="I1262" s="6"/>
      <c r="J1262" s="11" t="str">
        <f t="shared" si="97"/>
        <v/>
      </c>
      <c r="K1262" s="17" t="str">
        <f t="shared" si="98"/>
        <v/>
      </c>
      <c r="L1262" s="18" t="str">
        <f t="shared" si="99"/>
        <v/>
      </c>
      <c r="M1262" s="18" t="str">
        <f>IF(J1262&lt;&gt;-1,"",ROUND(F1262*IFERROR(INDEX(Stocuri!$G$5:$G$204,MATCH(D1262,Coduri,0)),0),2))</f>
        <v/>
      </c>
      <c r="N1262" s="19" t="str">
        <f t="shared" si="100"/>
        <v/>
      </c>
    </row>
    <row r="1263" spans="2:14" x14ac:dyDescent="0.2">
      <c r="B1263" s="15"/>
      <c r="C1263" s="6"/>
      <c r="D1263" s="12"/>
      <c r="E1263" s="10" t="str">
        <f t="shared" si="96"/>
        <v/>
      </c>
      <c r="F1263" s="16"/>
      <c r="G1263" s="13"/>
      <c r="H1263" s="6"/>
      <c r="I1263" s="6"/>
      <c r="J1263" s="11" t="str">
        <f t="shared" si="97"/>
        <v/>
      </c>
      <c r="K1263" s="17" t="str">
        <f t="shared" si="98"/>
        <v/>
      </c>
      <c r="L1263" s="18" t="str">
        <f t="shared" si="99"/>
        <v/>
      </c>
      <c r="M1263" s="18" t="str">
        <f>IF(J1263&lt;&gt;-1,"",ROUND(F1263*IFERROR(INDEX(Stocuri!$G$5:$G$204,MATCH(D1263,Coduri,0)),0),2))</f>
        <v/>
      </c>
      <c r="N1263" s="19" t="str">
        <f t="shared" si="100"/>
        <v/>
      </c>
    </row>
    <row r="1264" spans="2:14" x14ac:dyDescent="0.2">
      <c r="B1264" s="15"/>
      <c r="C1264" s="6"/>
      <c r="D1264" s="12"/>
      <c r="E1264" s="10" t="str">
        <f t="shared" si="96"/>
        <v/>
      </c>
      <c r="F1264" s="16"/>
      <c r="G1264" s="13"/>
      <c r="H1264" s="6"/>
      <c r="I1264" s="6"/>
      <c r="J1264" s="11" t="str">
        <f t="shared" si="97"/>
        <v/>
      </c>
      <c r="K1264" s="17" t="str">
        <f t="shared" si="98"/>
        <v/>
      </c>
      <c r="L1264" s="18" t="str">
        <f t="shared" si="99"/>
        <v/>
      </c>
      <c r="M1264" s="18" t="str">
        <f>IF(J1264&lt;&gt;-1,"",ROUND(F1264*IFERROR(INDEX(Stocuri!$G$5:$G$204,MATCH(D1264,Coduri,0)),0),2))</f>
        <v/>
      </c>
      <c r="N1264" s="19" t="str">
        <f t="shared" si="100"/>
        <v/>
      </c>
    </row>
    <row r="1265" spans="2:14" x14ac:dyDescent="0.2">
      <c r="B1265" s="15"/>
      <c r="C1265" s="6"/>
      <c r="D1265" s="12"/>
      <c r="E1265" s="10" t="str">
        <f t="shared" si="96"/>
        <v/>
      </c>
      <c r="F1265" s="16"/>
      <c r="G1265" s="13"/>
      <c r="H1265" s="6"/>
      <c r="I1265" s="6"/>
      <c r="J1265" s="11" t="str">
        <f t="shared" si="97"/>
        <v/>
      </c>
      <c r="K1265" s="17" t="str">
        <f t="shared" si="98"/>
        <v/>
      </c>
      <c r="L1265" s="18" t="str">
        <f t="shared" si="99"/>
        <v/>
      </c>
      <c r="M1265" s="18" t="str">
        <f>IF(J1265&lt;&gt;-1,"",ROUND(F1265*IFERROR(INDEX(Stocuri!$G$5:$G$204,MATCH(D1265,Coduri,0)),0),2))</f>
        <v/>
      </c>
      <c r="N1265" s="19" t="str">
        <f t="shared" si="100"/>
        <v/>
      </c>
    </row>
    <row r="1266" spans="2:14" x14ac:dyDescent="0.2">
      <c r="B1266" s="15"/>
      <c r="C1266" s="6"/>
      <c r="D1266" s="12"/>
      <c r="E1266" s="10" t="str">
        <f t="shared" si="96"/>
        <v/>
      </c>
      <c r="F1266" s="16"/>
      <c r="G1266" s="13"/>
      <c r="H1266" s="6"/>
      <c r="I1266" s="6"/>
      <c r="J1266" s="11" t="str">
        <f t="shared" si="97"/>
        <v/>
      </c>
      <c r="K1266" s="17" t="str">
        <f t="shared" si="98"/>
        <v/>
      </c>
      <c r="L1266" s="18" t="str">
        <f t="shared" si="99"/>
        <v/>
      </c>
      <c r="M1266" s="18" t="str">
        <f>IF(J1266&lt;&gt;-1,"",ROUND(F1266*IFERROR(INDEX(Stocuri!$G$5:$G$204,MATCH(D1266,Coduri,0)),0),2))</f>
        <v/>
      </c>
      <c r="N1266" s="19" t="str">
        <f t="shared" si="100"/>
        <v/>
      </c>
    </row>
    <row r="1267" spans="2:14" x14ac:dyDescent="0.2">
      <c r="B1267" s="15"/>
      <c r="C1267" s="6"/>
      <c r="D1267" s="12"/>
      <c r="E1267" s="10" t="str">
        <f t="shared" si="96"/>
        <v/>
      </c>
      <c r="F1267" s="16"/>
      <c r="G1267" s="13"/>
      <c r="H1267" s="6"/>
      <c r="I1267" s="6"/>
      <c r="J1267" s="11" t="str">
        <f t="shared" si="97"/>
        <v/>
      </c>
      <c r="K1267" s="17" t="str">
        <f t="shared" si="98"/>
        <v/>
      </c>
      <c r="L1267" s="18" t="str">
        <f t="shared" si="99"/>
        <v/>
      </c>
      <c r="M1267" s="18" t="str">
        <f>IF(J1267&lt;&gt;-1,"",ROUND(F1267*IFERROR(INDEX(Stocuri!$G$5:$G$204,MATCH(D1267,Coduri,0)),0),2))</f>
        <v/>
      </c>
      <c r="N1267" s="19" t="str">
        <f t="shared" si="100"/>
        <v/>
      </c>
    </row>
    <row r="1268" spans="2:14" x14ac:dyDescent="0.2">
      <c r="B1268" s="15"/>
      <c r="C1268" s="6"/>
      <c r="D1268" s="12"/>
      <c r="E1268" s="10" t="str">
        <f t="shared" si="96"/>
        <v/>
      </c>
      <c r="F1268" s="16"/>
      <c r="G1268" s="13"/>
      <c r="H1268" s="6"/>
      <c r="I1268" s="6"/>
      <c r="J1268" s="11" t="str">
        <f t="shared" si="97"/>
        <v/>
      </c>
      <c r="K1268" s="17" t="str">
        <f t="shared" si="98"/>
        <v/>
      </c>
      <c r="L1268" s="18" t="str">
        <f t="shared" si="99"/>
        <v/>
      </c>
      <c r="M1268" s="18" t="str">
        <f>IF(J1268&lt;&gt;-1,"",ROUND(F1268*IFERROR(INDEX(Stocuri!$G$5:$G$204,MATCH(D1268,Coduri,0)),0),2))</f>
        <v/>
      </c>
      <c r="N1268" s="19" t="str">
        <f t="shared" si="100"/>
        <v/>
      </c>
    </row>
    <row r="1269" spans="2:14" x14ac:dyDescent="0.2">
      <c r="B1269" s="15"/>
      <c r="C1269" s="6"/>
      <c r="D1269" s="12"/>
      <c r="E1269" s="10" t="str">
        <f t="shared" si="96"/>
        <v/>
      </c>
      <c r="F1269" s="16"/>
      <c r="G1269" s="13"/>
      <c r="H1269" s="6"/>
      <c r="I1269" s="6"/>
      <c r="J1269" s="11" t="str">
        <f t="shared" si="97"/>
        <v/>
      </c>
      <c r="K1269" s="17" t="str">
        <f t="shared" si="98"/>
        <v/>
      </c>
      <c r="L1269" s="18" t="str">
        <f t="shared" si="99"/>
        <v/>
      </c>
      <c r="M1269" s="18" t="str">
        <f>IF(J1269&lt;&gt;-1,"",ROUND(F1269*IFERROR(INDEX(Stocuri!$G$5:$G$204,MATCH(D1269,Coduri,0)),0),2))</f>
        <v/>
      </c>
      <c r="N1269" s="19" t="str">
        <f t="shared" si="100"/>
        <v/>
      </c>
    </row>
    <row r="1270" spans="2:14" x14ac:dyDescent="0.2">
      <c r="B1270" s="15"/>
      <c r="C1270" s="6"/>
      <c r="D1270" s="12"/>
      <c r="E1270" s="10" t="str">
        <f t="shared" si="96"/>
        <v/>
      </c>
      <c r="F1270" s="16"/>
      <c r="G1270" s="13"/>
      <c r="H1270" s="6"/>
      <c r="I1270" s="6"/>
      <c r="J1270" s="11" t="str">
        <f t="shared" si="97"/>
        <v/>
      </c>
      <c r="K1270" s="17" t="str">
        <f t="shared" si="98"/>
        <v/>
      </c>
      <c r="L1270" s="18" t="str">
        <f t="shared" si="99"/>
        <v/>
      </c>
      <c r="M1270" s="18" t="str">
        <f>IF(J1270&lt;&gt;-1,"",ROUND(F1270*IFERROR(INDEX(Stocuri!$G$5:$G$204,MATCH(D1270,Coduri,0)),0),2))</f>
        <v/>
      </c>
      <c r="N1270" s="19" t="str">
        <f t="shared" si="100"/>
        <v/>
      </c>
    </row>
    <row r="1271" spans="2:14" x14ac:dyDescent="0.2">
      <c r="B1271" s="15"/>
      <c r="C1271" s="6"/>
      <c r="D1271" s="12"/>
      <c r="E1271" s="10" t="str">
        <f t="shared" si="96"/>
        <v/>
      </c>
      <c r="F1271" s="16"/>
      <c r="G1271" s="13"/>
      <c r="H1271" s="6"/>
      <c r="I1271" s="6"/>
      <c r="J1271" s="11" t="str">
        <f t="shared" si="97"/>
        <v/>
      </c>
      <c r="K1271" s="17" t="str">
        <f t="shared" si="98"/>
        <v/>
      </c>
      <c r="L1271" s="18" t="str">
        <f t="shared" si="99"/>
        <v/>
      </c>
      <c r="M1271" s="18" t="str">
        <f>IF(J1271&lt;&gt;-1,"",ROUND(F1271*IFERROR(INDEX(Stocuri!$G$5:$G$204,MATCH(D1271,Coduri,0)),0),2))</f>
        <v/>
      </c>
      <c r="N1271" s="19" t="str">
        <f t="shared" si="100"/>
        <v/>
      </c>
    </row>
    <row r="1272" spans="2:14" x14ac:dyDescent="0.2">
      <c r="B1272" s="15"/>
      <c r="C1272" s="6"/>
      <c r="D1272" s="12"/>
      <c r="E1272" s="10" t="str">
        <f t="shared" si="96"/>
        <v/>
      </c>
      <c r="F1272" s="16"/>
      <c r="G1272" s="13"/>
      <c r="H1272" s="6"/>
      <c r="I1272" s="6"/>
      <c r="J1272" s="11" t="str">
        <f t="shared" si="97"/>
        <v/>
      </c>
      <c r="K1272" s="17" t="str">
        <f t="shared" si="98"/>
        <v/>
      </c>
      <c r="L1272" s="18" t="str">
        <f t="shared" si="99"/>
        <v/>
      </c>
      <c r="M1272" s="18" t="str">
        <f>IF(J1272&lt;&gt;-1,"",ROUND(F1272*IFERROR(INDEX(Stocuri!$G$5:$G$204,MATCH(D1272,Coduri,0)),0),2))</f>
        <v/>
      </c>
      <c r="N1272" s="19" t="str">
        <f t="shared" si="100"/>
        <v/>
      </c>
    </row>
    <row r="1273" spans="2:14" x14ac:dyDescent="0.2">
      <c r="B1273" s="15"/>
      <c r="C1273" s="6"/>
      <c r="D1273" s="12"/>
      <c r="E1273" s="10" t="str">
        <f t="shared" si="96"/>
        <v/>
      </c>
      <c r="F1273" s="16"/>
      <c r="G1273" s="13"/>
      <c r="H1273" s="6"/>
      <c r="I1273" s="6"/>
      <c r="J1273" s="11" t="str">
        <f t="shared" si="97"/>
        <v/>
      </c>
      <c r="K1273" s="17" t="str">
        <f t="shared" si="98"/>
        <v/>
      </c>
      <c r="L1273" s="18" t="str">
        <f t="shared" si="99"/>
        <v/>
      </c>
      <c r="M1273" s="18" t="str">
        <f>IF(J1273&lt;&gt;-1,"",ROUND(F1273*IFERROR(INDEX(Stocuri!$G$5:$G$204,MATCH(D1273,Coduri,0)),0),2))</f>
        <v/>
      </c>
      <c r="N1273" s="19" t="str">
        <f t="shared" si="100"/>
        <v/>
      </c>
    </row>
    <row r="1274" spans="2:14" x14ac:dyDescent="0.2">
      <c r="B1274" s="15"/>
      <c r="C1274" s="6"/>
      <c r="D1274" s="12"/>
      <c r="E1274" s="10" t="str">
        <f t="shared" si="96"/>
        <v/>
      </c>
      <c r="F1274" s="16"/>
      <c r="G1274" s="13"/>
      <c r="H1274" s="6"/>
      <c r="I1274" s="6"/>
      <c r="J1274" s="11" t="str">
        <f t="shared" si="97"/>
        <v/>
      </c>
      <c r="K1274" s="17" t="str">
        <f t="shared" si="98"/>
        <v/>
      </c>
      <c r="L1274" s="18" t="str">
        <f t="shared" si="99"/>
        <v/>
      </c>
      <c r="M1274" s="18" t="str">
        <f>IF(J1274&lt;&gt;-1,"",ROUND(F1274*IFERROR(INDEX(Stocuri!$G$5:$G$204,MATCH(D1274,Coduri,0)),0),2))</f>
        <v/>
      </c>
      <c r="N1274" s="19" t="str">
        <f t="shared" si="100"/>
        <v/>
      </c>
    </row>
    <row r="1275" spans="2:14" x14ac:dyDescent="0.2">
      <c r="B1275" s="15"/>
      <c r="C1275" s="6"/>
      <c r="D1275" s="12"/>
      <c r="E1275" s="10" t="str">
        <f t="shared" si="96"/>
        <v/>
      </c>
      <c r="F1275" s="16"/>
      <c r="G1275" s="13"/>
      <c r="H1275" s="6"/>
      <c r="I1275" s="6"/>
      <c r="J1275" s="11" t="str">
        <f t="shared" si="97"/>
        <v/>
      </c>
      <c r="K1275" s="17" t="str">
        <f t="shared" si="98"/>
        <v/>
      </c>
      <c r="L1275" s="18" t="str">
        <f t="shared" si="99"/>
        <v/>
      </c>
      <c r="M1275" s="18" t="str">
        <f>IF(J1275&lt;&gt;-1,"",ROUND(F1275*IFERROR(INDEX(Stocuri!$G$5:$G$204,MATCH(D1275,Coduri,0)),0),2))</f>
        <v/>
      </c>
      <c r="N1275" s="19" t="str">
        <f t="shared" si="100"/>
        <v/>
      </c>
    </row>
    <row r="1276" spans="2:14" x14ac:dyDescent="0.2">
      <c r="B1276" s="15"/>
      <c r="C1276" s="6"/>
      <c r="D1276" s="12"/>
      <c r="E1276" s="10" t="str">
        <f t="shared" si="96"/>
        <v/>
      </c>
      <c r="F1276" s="16"/>
      <c r="G1276" s="13"/>
      <c r="H1276" s="6"/>
      <c r="I1276" s="6"/>
      <c r="J1276" s="11" t="str">
        <f t="shared" si="97"/>
        <v/>
      </c>
      <c r="K1276" s="17" t="str">
        <f t="shared" si="98"/>
        <v/>
      </c>
      <c r="L1276" s="18" t="str">
        <f t="shared" si="99"/>
        <v/>
      </c>
      <c r="M1276" s="18" t="str">
        <f>IF(J1276&lt;&gt;-1,"",ROUND(F1276*IFERROR(INDEX(Stocuri!$G$5:$G$204,MATCH(D1276,Coduri,0)),0),2))</f>
        <v/>
      </c>
      <c r="N1276" s="19" t="str">
        <f t="shared" si="100"/>
        <v/>
      </c>
    </row>
    <row r="1277" spans="2:14" x14ac:dyDescent="0.2">
      <c r="B1277" s="15"/>
      <c r="C1277" s="6"/>
      <c r="D1277" s="12"/>
      <c r="E1277" s="10" t="str">
        <f t="shared" si="96"/>
        <v/>
      </c>
      <c r="F1277" s="16"/>
      <c r="G1277" s="13"/>
      <c r="H1277" s="6"/>
      <c r="I1277" s="6"/>
      <c r="J1277" s="11" t="str">
        <f t="shared" si="97"/>
        <v/>
      </c>
      <c r="K1277" s="17" t="str">
        <f t="shared" si="98"/>
        <v/>
      </c>
      <c r="L1277" s="18" t="str">
        <f t="shared" si="99"/>
        <v/>
      </c>
      <c r="M1277" s="18" t="str">
        <f>IF(J1277&lt;&gt;-1,"",ROUND(F1277*IFERROR(INDEX(Stocuri!$G$5:$G$204,MATCH(D1277,Coduri,0)),0),2))</f>
        <v/>
      </c>
      <c r="N1277" s="19" t="str">
        <f t="shared" si="100"/>
        <v/>
      </c>
    </row>
    <row r="1278" spans="2:14" x14ac:dyDescent="0.2">
      <c r="B1278" s="15"/>
      <c r="C1278" s="6"/>
      <c r="D1278" s="12"/>
      <c r="E1278" s="10" t="str">
        <f t="shared" si="96"/>
        <v/>
      </c>
      <c r="F1278" s="16"/>
      <c r="G1278" s="13"/>
      <c r="H1278" s="6"/>
      <c r="I1278" s="6"/>
      <c r="J1278" s="11" t="str">
        <f t="shared" si="97"/>
        <v/>
      </c>
      <c r="K1278" s="17" t="str">
        <f t="shared" si="98"/>
        <v/>
      </c>
      <c r="L1278" s="18" t="str">
        <f t="shared" si="99"/>
        <v/>
      </c>
      <c r="M1278" s="18" t="str">
        <f>IF(J1278&lt;&gt;-1,"",ROUND(F1278*IFERROR(INDEX(Stocuri!$G$5:$G$204,MATCH(D1278,Coduri,0)),0),2))</f>
        <v/>
      </c>
      <c r="N1278" s="19" t="str">
        <f t="shared" si="100"/>
        <v/>
      </c>
    </row>
    <row r="1279" spans="2:14" x14ac:dyDescent="0.2">
      <c r="B1279" s="15"/>
      <c r="C1279" s="6"/>
      <c r="D1279" s="12"/>
      <c r="E1279" s="10" t="str">
        <f t="shared" si="96"/>
        <v/>
      </c>
      <c r="F1279" s="16"/>
      <c r="G1279" s="13"/>
      <c r="H1279" s="6"/>
      <c r="I1279" s="6"/>
      <c r="J1279" s="11" t="str">
        <f t="shared" si="97"/>
        <v/>
      </c>
      <c r="K1279" s="17" t="str">
        <f t="shared" si="98"/>
        <v/>
      </c>
      <c r="L1279" s="18" t="str">
        <f t="shared" si="99"/>
        <v/>
      </c>
      <c r="M1279" s="18" t="str">
        <f>IF(J1279&lt;&gt;-1,"",ROUND(F1279*IFERROR(INDEX(Stocuri!$G$5:$G$204,MATCH(D1279,Coduri,0)),0),2))</f>
        <v/>
      </c>
      <c r="N1279" s="19" t="str">
        <f t="shared" si="100"/>
        <v/>
      </c>
    </row>
    <row r="1280" spans="2:14" x14ac:dyDescent="0.2">
      <c r="B1280" s="15"/>
      <c r="C1280" s="6"/>
      <c r="D1280" s="12"/>
      <c r="E1280" s="10" t="str">
        <f t="shared" si="96"/>
        <v/>
      </c>
      <c r="F1280" s="16"/>
      <c r="G1280" s="13"/>
      <c r="H1280" s="6"/>
      <c r="I1280" s="6"/>
      <c r="J1280" s="11" t="str">
        <f t="shared" si="97"/>
        <v/>
      </c>
      <c r="K1280" s="17" t="str">
        <f t="shared" si="98"/>
        <v/>
      </c>
      <c r="L1280" s="18" t="str">
        <f t="shared" si="99"/>
        <v/>
      </c>
      <c r="M1280" s="18" t="str">
        <f>IF(J1280&lt;&gt;-1,"",ROUND(F1280*IFERROR(INDEX(Stocuri!$G$5:$G$204,MATCH(D1280,Coduri,0)),0),2))</f>
        <v/>
      </c>
      <c r="N1280" s="19" t="str">
        <f t="shared" si="100"/>
        <v/>
      </c>
    </row>
    <row r="1281" spans="2:14" x14ac:dyDescent="0.2">
      <c r="B1281" s="15"/>
      <c r="C1281" s="6"/>
      <c r="D1281" s="12"/>
      <c r="E1281" s="10" t="str">
        <f t="shared" si="96"/>
        <v/>
      </c>
      <c r="F1281" s="16"/>
      <c r="G1281" s="13"/>
      <c r="H1281" s="6"/>
      <c r="I1281" s="6"/>
      <c r="J1281" s="11" t="str">
        <f t="shared" si="97"/>
        <v/>
      </c>
      <c r="K1281" s="17" t="str">
        <f t="shared" si="98"/>
        <v/>
      </c>
      <c r="L1281" s="18" t="str">
        <f t="shared" si="99"/>
        <v/>
      </c>
      <c r="M1281" s="18" t="str">
        <f>IF(J1281&lt;&gt;-1,"",ROUND(F1281*IFERROR(INDEX(Stocuri!$G$5:$G$204,MATCH(D1281,Coduri,0)),0),2))</f>
        <v/>
      </c>
      <c r="N1281" s="19" t="str">
        <f t="shared" si="100"/>
        <v/>
      </c>
    </row>
    <row r="1282" spans="2:14" x14ac:dyDescent="0.2">
      <c r="B1282" s="15"/>
      <c r="C1282" s="6"/>
      <c r="D1282" s="12"/>
      <c r="E1282" s="10" t="str">
        <f t="shared" si="96"/>
        <v/>
      </c>
      <c r="F1282" s="16"/>
      <c r="G1282" s="13"/>
      <c r="H1282" s="6"/>
      <c r="I1282" s="6"/>
      <c r="J1282" s="11" t="str">
        <f t="shared" si="97"/>
        <v/>
      </c>
      <c r="K1282" s="17" t="str">
        <f t="shared" si="98"/>
        <v/>
      </c>
      <c r="L1282" s="18" t="str">
        <f t="shared" si="99"/>
        <v/>
      </c>
      <c r="M1282" s="18" t="str">
        <f>IF(J1282&lt;&gt;-1,"",ROUND(F1282*IFERROR(INDEX(Stocuri!$G$5:$G$204,MATCH(D1282,Coduri,0)),0),2))</f>
        <v/>
      </c>
      <c r="N1282" s="19" t="str">
        <f t="shared" si="100"/>
        <v/>
      </c>
    </row>
    <row r="1283" spans="2:14" x14ac:dyDescent="0.2">
      <c r="B1283" s="15"/>
      <c r="C1283" s="6"/>
      <c r="D1283" s="12"/>
      <c r="E1283" s="10" t="str">
        <f t="shared" si="96"/>
        <v/>
      </c>
      <c r="F1283" s="16"/>
      <c r="G1283" s="13"/>
      <c r="H1283" s="6"/>
      <c r="I1283" s="6"/>
      <c r="J1283" s="11" t="str">
        <f t="shared" si="97"/>
        <v/>
      </c>
      <c r="K1283" s="17" t="str">
        <f t="shared" si="98"/>
        <v/>
      </c>
      <c r="L1283" s="18" t="str">
        <f t="shared" si="99"/>
        <v/>
      </c>
      <c r="M1283" s="18" t="str">
        <f>IF(J1283&lt;&gt;-1,"",ROUND(F1283*IFERROR(INDEX(Stocuri!$G$5:$G$204,MATCH(D1283,Coduri,0)),0),2))</f>
        <v/>
      </c>
      <c r="N1283" s="19" t="str">
        <f t="shared" si="100"/>
        <v/>
      </c>
    </row>
    <row r="1284" spans="2:14" x14ac:dyDescent="0.2">
      <c r="B1284" s="15"/>
      <c r="C1284" s="6"/>
      <c r="D1284" s="12"/>
      <c r="E1284" s="10" t="str">
        <f t="shared" si="96"/>
        <v/>
      </c>
      <c r="F1284" s="16"/>
      <c r="G1284" s="13"/>
      <c r="H1284" s="6"/>
      <c r="I1284" s="6"/>
      <c r="J1284" s="11" t="str">
        <f t="shared" si="97"/>
        <v/>
      </c>
      <c r="K1284" s="17" t="str">
        <f t="shared" si="98"/>
        <v/>
      </c>
      <c r="L1284" s="18" t="str">
        <f t="shared" si="99"/>
        <v/>
      </c>
      <c r="M1284" s="18" t="str">
        <f>IF(J1284&lt;&gt;-1,"",ROUND(F1284*IFERROR(INDEX(Stocuri!$G$5:$G$204,MATCH(D1284,Coduri,0)),0),2))</f>
        <v/>
      </c>
      <c r="N1284" s="19" t="str">
        <f t="shared" si="100"/>
        <v/>
      </c>
    </row>
    <row r="1285" spans="2:14" x14ac:dyDescent="0.2">
      <c r="B1285" s="15"/>
      <c r="C1285" s="6"/>
      <c r="D1285" s="12"/>
      <c r="E1285" s="10" t="str">
        <f t="shared" ref="E1285:E1348" si="101">IF(D1285="","",IFERROR(VLOOKUP(D1285,Catalog,2,FALSE),""))</f>
        <v/>
      </c>
      <c r="F1285" s="16"/>
      <c r="G1285" s="13"/>
      <c r="H1285" s="6"/>
      <c r="I1285" s="6"/>
      <c r="J1285" s="11" t="str">
        <f t="shared" ref="J1285:J1348" si="102">IF(C1285="","",IFERROR(VLOOKUP(C1285,TipSemn,2,FALSE),""))</f>
        <v/>
      </c>
      <c r="K1285" s="17" t="str">
        <f t="shared" ref="K1285:K1348" si="103">IF(OR(J1285="",F1285=""),"",J1285*F1285)</f>
        <v/>
      </c>
      <c r="L1285" s="18" t="str">
        <f t="shared" ref="L1285:L1348" si="104">IF(OR(J1285&lt;&gt;1,G1285=""),"",ROUND(F1285*G1285,2))</f>
        <v/>
      </c>
      <c r="M1285" s="18" t="str">
        <f>IF(J1285&lt;&gt;-1,"",ROUND(F1285*IFERROR(INDEX(Stocuri!$G$5:$G$204,MATCH(D1285,Coduri,0)),0),2))</f>
        <v/>
      </c>
      <c r="N1285" s="19" t="str">
        <f t="shared" ref="N1285:N1348" si="105">IF(AND(B1285="",D1285=""),"",TRIM(IF(OR(B1285="",C1285="",D1285="",F1285=""),"Date incomplete. ","")&amp;IF(AND(D1285&lt;&gt;"",E1285=""),"Cod necunoscut. ","")&amp;IF(AND(J1285=1,C1285&lt;&gt;"Retur de la client",C1285&lt;&gt;"Ajustare inventar +",G1285=""),"Lipsește prețul de intrare. ","")&amp;IF(AND(J1285=-1,D1285&lt;&gt;"",SUMIFS($K$5:$K$2004,$D$5:$D$2004,D1285,$B$5:$B$2004,"&lt;="&amp;B1285)&lt;0),"Stoc insuficient la această dată. ","")&amp;IF(AND(C1285&lt;&gt;"Stoc inițial",H1285=""),"Lipsește documentul. ","")))</f>
        <v/>
      </c>
    </row>
    <row r="1286" spans="2:14" x14ac:dyDescent="0.2">
      <c r="B1286" s="15"/>
      <c r="C1286" s="6"/>
      <c r="D1286" s="12"/>
      <c r="E1286" s="10" t="str">
        <f t="shared" si="101"/>
        <v/>
      </c>
      <c r="F1286" s="16"/>
      <c r="G1286" s="13"/>
      <c r="H1286" s="6"/>
      <c r="I1286" s="6"/>
      <c r="J1286" s="11" t="str">
        <f t="shared" si="102"/>
        <v/>
      </c>
      <c r="K1286" s="17" t="str">
        <f t="shared" si="103"/>
        <v/>
      </c>
      <c r="L1286" s="18" t="str">
        <f t="shared" si="104"/>
        <v/>
      </c>
      <c r="M1286" s="18" t="str">
        <f>IF(J1286&lt;&gt;-1,"",ROUND(F1286*IFERROR(INDEX(Stocuri!$G$5:$G$204,MATCH(D1286,Coduri,0)),0),2))</f>
        <v/>
      </c>
      <c r="N1286" s="19" t="str">
        <f t="shared" si="105"/>
        <v/>
      </c>
    </row>
    <row r="1287" spans="2:14" x14ac:dyDescent="0.2">
      <c r="B1287" s="15"/>
      <c r="C1287" s="6"/>
      <c r="D1287" s="12"/>
      <c r="E1287" s="10" t="str">
        <f t="shared" si="101"/>
        <v/>
      </c>
      <c r="F1287" s="16"/>
      <c r="G1287" s="13"/>
      <c r="H1287" s="6"/>
      <c r="I1287" s="6"/>
      <c r="J1287" s="11" t="str">
        <f t="shared" si="102"/>
        <v/>
      </c>
      <c r="K1287" s="17" t="str">
        <f t="shared" si="103"/>
        <v/>
      </c>
      <c r="L1287" s="18" t="str">
        <f t="shared" si="104"/>
        <v/>
      </c>
      <c r="M1287" s="18" t="str">
        <f>IF(J1287&lt;&gt;-1,"",ROUND(F1287*IFERROR(INDEX(Stocuri!$G$5:$G$204,MATCH(D1287,Coduri,0)),0),2))</f>
        <v/>
      </c>
      <c r="N1287" s="19" t="str">
        <f t="shared" si="105"/>
        <v/>
      </c>
    </row>
    <row r="1288" spans="2:14" x14ac:dyDescent="0.2">
      <c r="B1288" s="15"/>
      <c r="C1288" s="6"/>
      <c r="D1288" s="12"/>
      <c r="E1288" s="10" t="str">
        <f t="shared" si="101"/>
        <v/>
      </c>
      <c r="F1288" s="16"/>
      <c r="G1288" s="13"/>
      <c r="H1288" s="6"/>
      <c r="I1288" s="6"/>
      <c r="J1288" s="11" t="str">
        <f t="shared" si="102"/>
        <v/>
      </c>
      <c r="K1288" s="17" t="str">
        <f t="shared" si="103"/>
        <v/>
      </c>
      <c r="L1288" s="18" t="str">
        <f t="shared" si="104"/>
        <v/>
      </c>
      <c r="M1288" s="18" t="str">
        <f>IF(J1288&lt;&gt;-1,"",ROUND(F1288*IFERROR(INDEX(Stocuri!$G$5:$G$204,MATCH(D1288,Coduri,0)),0),2))</f>
        <v/>
      </c>
      <c r="N1288" s="19" t="str">
        <f t="shared" si="105"/>
        <v/>
      </c>
    </row>
    <row r="1289" spans="2:14" x14ac:dyDescent="0.2">
      <c r="B1289" s="15"/>
      <c r="C1289" s="6"/>
      <c r="D1289" s="12"/>
      <c r="E1289" s="10" t="str">
        <f t="shared" si="101"/>
        <v/>
      </c>
      <c r="F1289" s="16"/>
      <c r="G1289" s="13"/>
      <c r="H1289" s="6"/>
      <c r="I1289" s="6"/>
      <c r="J1289" s="11" t="str">
        <f t="shared" si="102"/>
        <v/>
      </c>
      <c r="K1289" s="17" t="str">
        <f t="shared" si="103"/>
        <v/>
      </c>
      <c r="L1289" s="18" t="str">
        <f t="shared" si="104"/>
        <v/>
      </c>
      <c r="M1289" s="18" t="str">
        <f>IF(J1289&lt;&gt;-1,"",ROUND(F1289*IFERROR(INDEX(Stocuri!$G$5:$G$204,MATCH(D1289,Coduri,0)),0),2))</f>
        <v/>
      </c>
      <c r="N1289" s="19" t="str">
        <f t="shared" si="105"/>
        <v/>
      </c>
    </row>
    <row r="1290" spans="2:14" x14ac:dyDescent="0.2">
      <c r="B1290" s="15"/>
      <c r="C1290" s="6"/>
      <c r="D1290" s="12"/>
      <c r="E1290" s="10" t="str">
        <f t="shared" si="101"/>
        <v/>
      </c>
      <c r="F1290" s="16"/>
      <c r="G1290" s="13"/>
      <c r="H1290" s="6"/>
      <c r="I1290" s="6"/>
      <c r="J1290" s="11" t="str">
        <f t="shared" si="102"/>
        <v/>
      </c>
      <c r="K1290" s="17" t="str">
        <f t="shared" si="103"/>
        <v/>
      </c>
      <c r="L1290" s="18" t="str">
        <f t="shared" si="104"/>
        <v/>
      </c>
      <c r="M1290" s="18" t="str">
        <f>IF(J1290&lt;&gt;-1,"",ROUND(F1290*IFERROR(INDEX(Stocuri!$G$5:$G$204,MATCH(D1290,Coduri,0)),0),2))</f>
        <v/>
      </c>
      <c r="N1290" s="19" t="str">
        <f t="shared" si="105"/>
        <v/>
      </c>
    </row>
    <row r="1291" spans="2:14" x14ac:dyDescent="0.2">
      <c r="B1291" s="15"/>
      <c r="C1291" s="6"/>
      <c r="D1291" s="12"/>
      <c r="E1291" s="10" t="str">
        <f t="shared" si="101"/>
        <v/>
      </c>
      <c r="F1291" s="16"/>
      <c r="G1291" s="13"/>
      <c r="H1291" s="6"/>
      <c r="I1291" s="6"/>
      <c r="J1291" s="11" t="str">
        <f t="shared" si="102"/>
        <v/>
      </c>
      <c r="K1291" s="17" t="str">
        <f t="shared" si="103"/>
        <v/>
      </c>
      <c r="L1291" s="18" t="str">
        <f t="shared" si="104"/>
        <v/>
      </c>
      <c r="M1291" s="18" t="str">
        <f>IF(J1291&lt;&gt;-1,"",ROUND(F1291*IFERROR(INDEX(Stocuri!$G$5:$G$204,MATCH(D1291,Coduri,0)),0),2))</f>
        <v/>
      </c>
      <c r="N1291" s="19" t="str">
        <f t="shared" si="105"/>
        <v/>
      </c>
    </row>
    <row r="1292" spans="2:14" x14ac:dyDescent="0.2">
      <c r="B1292" s="15"/>
      <c r="C1292" s="6"/>
      <c r="D1292" s="12"/>
      <c r="E1292" s="10" t="str">
        <f t="shared" si="101"/>
        <v/>
      </c>
      <c r="F1292" s="16"/>
      <c r="G1292" s="13"/>
      <c r="H1292" s="6"/>
      <c r="I1292" s="6"/>
      <c r="J1292" s="11" t="str">
        <f t="shared" si="102"/>
        <v/>
      </c>
      <c r="K1292" s="17" t="str">
        <f t="shared" si="103"/>
        <v/>
      </c>
      <c r="L1292" s="18" t="str">
        <f t="shared" si="104"/>
        <v/>
      </c>
      <c r="M1292" s="18" t="str">
        <f>IF(J1292&lt;&gt;-1,"",ROUND(F1292*IFERROR(INDEX(Stocuri!$G$5:$G$204,MATCH(D1292,Coduri,0)),0),2))</f>
        <v/>
      </c>
      <c r="N1292" s="19" t="str">
        <f t="shared" si="105"/>
        <v/>
      </c>
    </row>
    <row r="1293" spans="2:14" x14ac:dyDescent="0.2">
      <c r="B1293" s="15"/>
      <c r="C1293" s="6"/>
      <c r="D1293" s="12"/>
      <c r="E1293" s="10" t="str">
        <f t="shared" si="101"/>
        <v/>
      </c>
      <c r="F1293" s="16"/>
      <c r="G1293" s="13"/>
      <c r="H1293" s="6"/>
      <c r="I1293" s="6"/>
      <c r="J1293" s="11" t="str">
        <f t="shared" si="102"/>
        <v/>
      </c>
      <c r="K1293" s="17" t="str">
        <f t="shared" si="103"/>
        <v/>
      </c>
      <c r="L1293" s="18" t="str">
        <f t="shared" si="104"/>
        <v/>
      </c>
      <c r="M1293" s="18" t="str">
        <f>IF(J1293&lt;&gt;-1,"",ROUND(F1293*IFERROR(INDEX(Stocuri!$G$5:$G$204,MATCH(D1293,Coduri,0)),0),2))</f>
        <v/>
      </c>
      <c r="N1293" s="19" t="str">
        <f t="shared" si="105"/>
        <v/>
      </c>
    </row>
    <row r="1294" spans="2:14" x14ac:dyDescent="0.2">
      <c r="B1294" s="15"/>
      <c r="C1294" s="6"/>
      <c r="D1294" s="12"/>
      <c r="E1294" s="10" t="str">
        <f t="shared" si="101"/>
        <v/>
      </c>
      <c r="F1294" s="16"/>
      <c r="G1294" s="13"/>
      <c r="H1294" s="6"/>
      <c r="I1294" s="6"/>
      <c r="J1294" s="11" t="str">
        <f t="shared" si="102"/>
        <v/>
      </c>
      <c r="K1294" s="17" t="str">
        <f t="shared" si="103"/>
        <v/>
      </c>
      <c r="L1294" s="18" t="str">
        <f t="shared" si="104"/>
        <v/>
      </c>
      <c r="M1294" s="18" t="str">
        <f>IF(J1294&lt;&gt;-1,"",ROUND(F1294*IFERROR(INDEX(Stocuri!$G$5:$G$204,MATCH(D1294,Coduri,0)),0),2))</f>
        <v/>
      </c>
      <c r="N1294" s="19" t="str">
        <f t="shared" si="105"/>
        <v/>
      </c>
    </row>
    <row r="1295" spans="2:14" x14ac:dyDescent="0.2">
      <c r="B1295" s="15"/>
      <c r="C1295" s="6"/>
      <c r="D1295" s="12"/>
      <c r="E1295" s="10" t="str">
        <f t="shared" si="101"/>
        <v/>
      </c>
      <c r="F1295" s="16"/>
      <c r="G1295" s="13"/>
      <c r="H1295" s="6"/>
      <c r="I1295" s="6"/>
      <c r="J1295" s="11" t="str">
        <f t="shared" si="102"/>
        <v/>
      </c>
      <c r="K1295" s="17" t="str">
        <f t="shared" si="103"/>
        <v/>
      </c>
      <c r="L1295" s="18" t="str">
        <f t="shared" si="104"/>
        <v/>
      </c>
      <c r="M1295" s="18" t="str">
        <f>IF(J1295&lt;&gt;-1,"",ROUND(F1295*IFERROR(INDEX(Stocuri!$G$5:$G$204,MATCH(D1295,Coduri,0)),0),2))</f>
        <v/>
      </c>
      <c r="N1295" s="19" t="str">
        <f t="shared" si="105"/>
        <v/>
      </c>
    </row>
    <row r="1296" spans="2:14" x14ac:dyDescent="0.2">
      <c r="B1296" s="15"/>
      <c r="C1296" s="6"/>
      <c r="D1296" s="12"/>
      <c r="E1296" s="10" t="str">
        <f t="shared" si="101"/>
        <v/>
      </c>
      <c r="F1296" s="16"/>
      <c r="G1296" s="13"/>
      <c r="H1296" s="6"/>
      <c r="I1296" s="6"/>
      <c r="J1296" s="11" t="str">
        <f t="shared" si="102"/>
        <v/>
      </c>
      <c r="K1296" s="17" t="str">
        <f t="shared" si="103"/>
        <v/>
      </c>
      <c r="L1296" s="18" t="str">
        <f t="shared" si="104"/>
        <v/>
      </c>
      <c r="M1296" s="18" t="str">
        <f>IF(J1296&lt;&gt;-1,"",ROUND(F1296*IFERROR(INDEX(Stocuri!$G$5:$G$204,MATCH(D1296,Coduri,0)),0),2))</f>
        <v/>
      </c>
      <c r="N1296" s="19" t="str">
        <f t="shared" si="105"/>
        <v/>
      </c>
    </row>
    <row r="1297" spans="2:14" x14ac:dyDescent="0.2">
      <c r="B1297" s="15"/>
      <c r="C1297" s="6"/>
      <c r="D1297" s="12"/>
      <c r="E1297" s="10" t="str">
        <f t="shared" si="101"/>
        <v/>
      </c>
      <c r="F1297" s="16"/>
      <c r="G1297" s="13"/>
      <c r="H1297" s="6"/>
      <c r="I1297" s="6"/>
      <c r="J1297" s="11" t="str">
        <f t="shared" si="102"/>
        <v/>
      </c>
      <c r="K1297" s="17" t="str">
        <f t="shared" si="103"/>
        <v/>
      </c>
      <c r="L1297" s="18" t="str">
        <f t="shared" si="104"/>
        <v/>
      </c>
      <c r="M1297" s="18" t="str">
        <f>IF(J1297&lt;&gt;-1,"",ROUND(F1297*IFERROR(INDEX(Stocuri!$G$5:$G$204,MATCH(D1297,Coduri,0)),0),2))</f>
        <v/>
      </c>
      <c r="N1297" s="19" t="str">
        <f t="shared" si="105"/>
        <v/>
      </c>
    </row>
    <row r="1298" spans="2:14" x14ac:dyDescent="0.2">
      <c r="B1298" s="15"/>
      <c r="C1298" s="6"/>
      <c r="D1298" s="12"/>
      <c r="E1298" s="10" t="str">
        <f t="shared" si="101"/>
        <v/>
      </c>
      <c r="F1298" s="16"/>
      <c r="G1298" s="13"/>
      <c r="H1298" s="6"/>
      <c r="I1298" s="6"/>
      <c r="J1298" s="11" t="str">
        <f t="shared" si="102"/>
        <v/>
      </c>
      <c r="K1298" s="17" t="str">
        <f t="shared" si="103"/>
        <v/>
      </c>
      <c r="L1298" s="18" t="str">
        <f t="shared" si="104"/>
        <v/>
      </c>
      <c r="M1298" s="18" t="str">
        <f>IF(J1298&lt;&gt;-1,"",ROUND(F1298*IFERROR(INDEX(Stocuri!$G$5:$G$204,MATCH(D1298,Coduri,0)),0),2))</f>
        <v/>
      </c>
      <c r="N1298" s="19" t="str">
        <f t="shared" si="105"/>
        <v/>
      </c>
    </row>
    <row r="1299" spans="2:14" x14ac:dyDescent="0.2">
      <c r="B1299" s="15"/>
      <c r="C1299" s="6"/>
      <c r="D1299" s="12"/>
      <c r="E1299" s="10" t="str">
        <f t="shared" si="101"/>
        <v/>
      </c>
      <c r="F1299" s="16"/>
      <c r="G1299" s="13"/>
      <c r="H1299" s="6"/>
      <c r="I1299" s="6"/>
      <c r="J1299" s="11" t="str">
        <f t="shared" si="102"/>
        <v/>
      </c>
      <c r="K1299" s="17" t="str">
        <f t="shared" si="103"/>
        <v/>
      </c>
      <c r="L1299" s="18" t="str">
        <f t="shared" si="104"/>
        <v/>
      </c>
      <c r="M1299" s="18" t="str">
        <f>IF(J1299&lt;&gt;-1,"",ROUND(F1299*IFERROR(INDEX(Stocuri!$G$5:$G$204,MATCH(D1299,Coduri,0)),0),2))</f>
        <v/>
      </c>
      <c r="N1299" s="19" t="str">
        <f t="shared" si="105"/>
        <v/>
      </c>
    </row>
    <row r="1300" spans="2:14" x14ac:dyDescent="0.2">
      <c r="B1300" s="15"/>
      <c r="C1300" s="6"/>
      <c r="D1300" s="12"/>
      <c r="E1300" s="10" t="str">
        <f t="shared" si="101"/>
        <v/>
      </c>
      <c r="F1300" s="16"/>
      <c r="G1300" s="13"/>
      <c r="H1300" s="6"/>
      <c r="I1300" s="6"/>
      <c r="J1300" s="11" t="str">
        <f t="shared" si="102"/>
        <v/>
      </c>
      <c r="K1300" s="17" t="str">
        <f t="shared" si="103"/>
        <v/>
      </c>
      <c r="L1300" s="18" t="str">
        <f t="shared" si="104"/>
        <v/>
      </c>
      <c r="M1300" s="18" t="str">
        <f>IF(J1300&lt;&gt;-1,"",ROUND(F1300*IFERROR(INDEX(Stocuri!$G$5:$G$204,MATCH(D1300,Coduri,0)),0),2))</f>
        <v/>
      </c>
      <c r="N1300" s="19" t="str">
        <f t="shared" si="105"/>
        <v/>
      </c>
    </row>
    <row r="1301" spans="2:14" x14ac:dyDescent="0.2">
      <c r="B1301" s="15"/>
      <c r="C1301" s="6"/>
      <c r="D1301" s="12"/>
      <c r="E1301" s="10" t="str">
        <f t="shared" si="101"/>
        <v/>
      </c>
      <c r="F1301" s="16"/>
      <c r="G1301" s="13"/>
      <c r="H1301" s="6"/>
      <c r="I1301" s="6"/>
      <c r="J1301" s="11" t="str">
        <f t="shared" si="102"/>
        <v/>
      </c>
      <c r="K1301" s="17" t="str">
        <f t="shared" si="103"/>
        <v/>
      </c>
      <c r="L1301" s="18" t="str">
        <f t="shared" si="104"/>
        <v/>
      </c>
      <c r="M1301" s="18" t="str">
        <f>IF(J1301&lt;&gt;-1,"",ROUND(F1301*IFERROR(INDEX(Stocuri!$G$5:$G$204,MATCH(D1301,Coduri,0)),0),2))</f>
        <v/>
      </c>
      <c r="N1301" s="19" t="str">
        <f t="shared" si="105"/>
        <v/>
      </c>
    </row>
    <row r="1302" spans="2:14" x14ac:dyDescent="0.2">
      <c r="B1302" s="15"/>
      <c r="C1302" s="6"/>
      <c r="D1302" s="12"/>
      <c r="E1302" s="10" t="str">
        <f t="shared" si="101"/>
        <v/>
      </c>
      <c r="F1302" s="16"/>
      <c r="G1302" s="13"/>
      <c r="H1302" s="6"/>
      <c r="I1302" s="6"/>
      <c r="J1302" s="11" t="str">
        <f t="shared" si="102"/>
        <v/>
      </c>
      <c r="K1302" s="17" t="str">
        <f t="shared" si="103"/>
        <v/>
      </c>
      <c r="L1302" s="18" t="str">
        <f t="shared" si="104"/>
        <v/>
      </c>
      <c r="M1302" s="18" t="str">
        <f>IF(J1302&lt;&gt;-1,"",ROUND(F1302*IFERROR(INDEX(Stocuri!$G$5:$G$204,MATCH(D1302,Coduri,0)),0),2))</f>
        <v/>
      </c>
      <c r="N1302" s="19" t="str">
        <f t="shared" si="105"/>
        <v/>
      </c>
    </row>
    <row r="1303" spans="2:14" x14ac:dyDescent="0.2">
      <c r="B1303" s="15"/>
      <c r="C1303" s="6"/>
      <c r="D1303" s="12"/>
      <c r="E1303" s="10" t="str">
        <f t="shared" si="101"/>
        <v/>
      </c>
      <c r="F1303" s="16"/>
      <c r="G1303" s="13"/>
      <c r="H1303" s="6"/>
      <c r="I1303" s="6"/>
      <c r="J1303" s="11" t="str">
        <f t="shared" si="102"/>
        <v/>
      </c>
      <c r="K1303" s="17" t="str">
        <f t="shared" si="103"/>
        <v/>
      </c>
      <c r="L1303" s="18" t="str">
        <f t="shared" si="104"/>
        <v/>
      </c>
      <c r="M1303" s="18" t="str">
        <f>IF(J1303&lt;&gt;-1,"",ROUND(F1303*IFERROR(INDEX(Stocuri!$G$5:$G$204,MATCH(D1303,Coduri,0)),0),2))</f>
        <v/>
      </c>
      <c r="N1303" s="19" t="str">
        <f t="shared" si="105"/>
        <v/>
      </c>
    </row>
    <row r="1304" spans="2:14" x14ac:dyDescent="0.2">
      <c r="B1304" s="15"/>
      <c r="C1304" s="6"/>
      <c r="D1304" s="12"/>
      <c r="E1304" s="10" t="str">
        <f t="shared" si="101"/>
        <v/>
      </c>
      <c r="F1304" s="16"/>
      <c r="G1304" s="13"/>
      <c r="H1304" s="6"/>
      <c r="I1304" s="6"/>
      <c r="J1304" s="11" t="str">
        <f t="shared" si="102"/>
        <v/>
      </c>
      <c r="K1304" s="17" t="str">
        <f t="shared" si="103"/>
        <v/>
      </c>
      <c r="L1304" s="18" t="str">
        <f t="shared" si="104"/>
        <v/>
      </c>
      <c r="M1304" s="18" t="str">
        <f>IF(J1304&lt;&gt;-1,"",ROUND(F1304*IFERROR(INDEX(Stocuri!$G$5:$G$204,MATCH(D1304,Coduri,0)),0),2))</f>
        <v/>
      </c>
      <c r="N1304" s="19" t="str">
        <f t="shared" si="105"/>
        <v/>
      </c>
    </row>
    <row r="1305" spans="2:14" x14ac:dyDescent="0.2">
      <c r="B1305" s="15"/>
      <c r="C1305" s="6"/>
      <c r="D1305" s="12"/>
      <c r="E1305" s="10" t="str">
        <f t="shared" si="101"/>
        <v/>
      </c>
      <c r="F1305" s="16"/>
      <c r="G1305" s="13"/>
      <c r="H1305" s="6"/>
      <c r="I1305" s="6"/>
      <c r="J1305" s="11" t="str">
        <f t="shared" si="102"/>
        <v/>
      </c>
      <c r="K1305" s="17" t="str">
        <f t="shared" si="103"/>
        <v/>
      </c>
      <c r="L1305" s="18" t="str">
        <f t="shared" si="104"/>
        <v/>
      </c>
      <c r="M1305" s="18" t="str">
        <f>IF(J1305&lt;&gt;-1,"",ROUND(F1305*IFERROR(INDEX(Stocuri!$G$5:$G$204,MATCH(D1305,Coduri,0)),0),2))</f>
        <v/>
      </c>
      <c r="N1305" s="19" t="str">
        <f t="shared" si="105"/>
        <v/>
      </c>
    </row>
    <row r="1306" spans="2:14" x14ac:dyDescent="0.2">
      <c r="B1306" s="15"/>
      <c r="C1306" s="6"/>
      <c r="D1306" s="12"/>
      <c r="E1306" s="10" t="str">
        <f t="shared" si="101"/>
        <v/>
      </c>
      <c r="F1306" s="16"/>
      <c r="G1306" s="13"/>
      <c r="H1306" s="6"/>
      <c r="I1306" s="6"/>
      <c r="J1306" s="11" t="str">
        <f t="shared" si="102"/>
        <v/>
      </c>
      <c r="K1306" s="17" t="str">
        <f t="shared" si="103"/>
        <v/>
      </c>
      <c r="L1306" s="18" t="str">
        <f t="shared" si="104"/>
        <v/>
      </c>
      <c r="M1306" s="18" t="str">
        <f>IF(J1306&lt;&gt;-1,"",ROUND(F1306*IFERROR(INDEX(Stocuri!$G$5:$G$204,MATCH(D1306,Coduri,0)),0),2))</f>
        <v/>
      </c>
      <c r="N1306" s="19" t="str">
        <f t="shared" si="105"/>
        <v/>
      </c>
    </row>
    <row r="1307" spans="2:14" x14ac:dyDescent="0.2">
      <c r="B1307" s="15"/>
      <c r="C1307" s="6"/>
      <c r="D1307" s="12"/>
      <c r="E1307" s="10" t="str">
        <f t="shared" si="101"/>
        <v/>
      </c>
      <c r="F1307" s="16"/>
      <c r="G1307" s="13"/>
      <c r="H1307" s="6"/>
      <c r="I1307" s="6"/>
      <c r="J1307" s="11" t="str">
        <f t="shared" si="102"/>
        <v/>
      </c>
      <c r="K1307" s="17" t="str">
        <f t="shared" si="103"/>
        <v/>
      </c>
      <c r="L1307" s="18" t="str">
        <f t="shared" si="104"/>
        <v/>
      </c>
      <c r="M1307" s="18" t="str">
        <f>IF(J1307&lt;&gt;-1,"",ROUND(F1307*IFERROR(INDEX(Stocuri!$G$5:$G$204,MATCH(D1307,Coduri,0)),0),2))</f>
        <v/>
      </c>
      <c r="N1307" s="19" t="str">
        <f t="shared" si="105"/>
        <v/>
      </c>
    </row>
    <row r="1308" spans="2:14" x14ac:dyDescent="0.2">
      <c r="B1308" s="15"/>
      <c r="C1308" s="6"/>
      <c r="D1308" s="12"/>
      <c r="E1308" s="10" t="str">
        <f t="shared" si="101"/>
        <v/>
      </c>
      <c r="F1308" s="16"/>
      <c r="G1308" s="13"/>
      <c r="H1308" s="6"/>
      <c r="I1308" s="6"/>
      <c r="J1308" s="11" t="str">
        <f t="shared" si="102"/>
        <v/>
      </c>
      <c r="K1308" s="17" t="str">
        <f t="shared" si="103"/>
        <v/>
      </c>
      <c r="L1308" s="18" t="str">
        <f t="shared" si="104"/>
        <v/>
      </c>
      <c r="M1308" s="18" t="str">
        <f>IF(J1308&lt;&gt;-1,"",ROUND(F1308*IFERROR(INDEX(Stocuri!$G$5:$G$204,MATCH(D1308,Coduri,0)),0),2))</f>
        <v/>
      </c>
      <c r="N1308" s="19" t="str">
        <f t="shared" si="105"/>
        <v/>
      </c>
    </row>
    <row r="1309" spans="2:14" x14ac:dyDescent="0.2">
      <c r="B1309" s="15"/>
      <c r="C1309" s="6"/>
      <c r="D1309" s="12"/>
      <c r="E1309" s="10" t="str">
        <f t="shared" si="101"/>
        <v/>
      </c>
      <c r="F1309" s="16"/>
      <c r="G1309" s="13"/>
      <c r="H1309" s="6"/>
      <c r="I1309" s="6"/>
      <c r="J1309" s="11" t="str">
        <f t="shared" si="102"/>
        <v/>
      </c>
      <c r="K1309" s="17" t="str">
        <f t="shared" si="103"/>
        <v/>
      </c>
      <c r="L1309" s="18" t="str">
        <f t="shared" si="104"/>
        <v/>
      </c>
      <c r="M1309" s="18" t="str">
        <f>IF(J1309&lt;&gt;-1,"",ROUND(F1309*IFERROR(INDEX(Stocuri!$G$5:$G$204,MATCH(D1309,Coduri,0)),0),2))</f>
        <v/>
      </c>
      <c r="N1309" s="19" t="str">
        <f t="shared" si="105"/>
        <v/>
      </c>
    </row>
    <row r="1310" spans="2:14" x14ac:dyDescent="0.2">
      <c r="B1310" s="15"/>
      <c r="C1310" s="6"/>
      <c r="D1310" s="12"/>
      <c r="E1310" s="10" t="str">
        <f t="shared" si="101"/>
        <v/>
      </c>
      <c r="F1310" s="16"/>
      <c r="G1310" s="13"/>
      <c r="H1310" s="6"/>
      <c r="I1310" s="6"/>
      <c r="J1310" s="11" t="str">
        <f t="shared" si="102"/>
        <v/>
      </c>
      <c r="K1310" s="17" t="str">
        <f t="shared" si="103"/>
        <v/>
      </c>
      <c r="L1310" s="18" t="str">
        <f t="shared" si="104"/>
        <v/>
      </c>
      <c r="M1310" s="18" t="str">
        <f>IF(J1310&lt;&gt;-1,"",ROUND(F1310*IFERROR(INDEX(Stocuri!$G$5:$G$204,MATCH(D1310,Coduri,0)),0),2))</f>
        <v/>
      </c>
      <c r="N1310" s="19" t="str">
        <f t="shared" si="105"/>
        <v/>
      </c>
    </row>
    <row r="1311" spans="2:14" x14ac:dyDescent="0.2">
      <c r="B1311" s="15"/>
      <c r="C1311" s="6"/>
      <c r="D1311" s="12"/>
      <c r="E1311" s="10" t="str">
        <f t="shared" si="101"/>
        <v/>
      </c>
      <c r="F1311" s="16"/>
      <c r="G1311" s="13"/>
      <c r="H1311" s="6"/>
      <c r="I1311" s="6"/>
      <c r="J1311" s="11" t="str">
        <f t="shared" si="102"/>
        <v/>
      </c>
      <c r="K1311" s="17" t="str">
        <f t="shared" si="103"/>
        <v/>
      </c>
      <c r="L1311" s="18" t="str">
        <f t="shared" si="104"/>
        <v/>
      </c>
      <c r="M1311" s="18" t="str">
        <f>IF(J1311&lt;&gt;-1,"",ROUND(F1311*IFERROR(INDEX(Stocuri!$G$5:$G$204,MATCH(D1311,Coduri,0)),0),2))</f>
        <v/>
      </c>
      <c r="N1311" s="19" t="str">
        <f t="shared" si="105"/>
        <v/>
      </c>
    </row>
    <row r="1312" spans="2:14" x14ac:dyDescent="0.2">
      <c r="B1312" s="15"/>
      <c r="C1312" s="6"/>
      <c r="D1312" s="12"/>
      <c r="E1312" s="10" t="str">
        <f t="shared" si="101"/>
        <v/>
      </c>
      <c r="F1312" s="16"/>
      <c r="G1312" s="13"/>
      <c r="H1312" s="6"/>
      <c r="I1312" s="6"/>
      <c r="J1312" s="11" t="str">
        <f t="shared" si="102"/>
        <v/>
      </c>
      <c r="K1312" s="17" t="str">
        <f t="shared" si="103"/>
        <v/>
      </c>
      <c r="L1312" s="18" t="str">
        <f t="shared" si="104"/>
        <v/>
      </c>
      <c r="M1312" s="18" t="str">
        <f>IF(J1312&lt;&gt;-1,"",ROUND(F1312*IFERROR(INDEX(Stocuri!$G$5:$G$204,MATCH(D1312,Coduri,0)),0),2))</f>
        <v/>
      </c>
      <c r="N1312" s="19" t="str">
        <f t="shared" si="105"/>
        <v/>
      </c>
    </row>
    <row r="1313" spans="2:14" x14ac:dyDescent="0.2">
      <c r="B1313" s="15"/>
      <c r="C1313" s="6"/>
      <c r="D1313" s="12"/>
      <c r="E1313" s="10" t="str">
        <f t="shared" si="101"/>
        <v/>
      </c>
      <c r="F1313" s="16"/>
      <c r="G1313" s="13"/>
      <c r="H1313" s="6"/>
      <c r="I1313" s="6"/>
      <c r="J1313" s="11" t="str">
        <f t="shared" si="102"/>
        <v/>
      </c>
      <c r="K1313" s="17" t="str">
        <f t="shared" si="103"/>
        <v/>
      </c>
      <c r="L1313" s="18" t="str">
        <f t="shared" si="104"/>
        <v/>
      </c>
      <c r="M1313" s="18" t="str">
        <f>IF(J1313&lt;&gt;-1,"",ROUND(F1313*IFERROR(INDEX(Stocuri!$G$5:$G$204,MATCH(D1313,Coduri,0)),0),2))</f>
        <v/>
      </c>
      <c r="N1313" s="19" t="str">
        <f t="shared" si="105"/>
        <v/>
      </c>
    </row>
    <row r="1314" spans="2:14" x14ac:dyDescent="0.2">
      <c r="B1314" s="15"/>
      <c r="C1314" s="6"/>
      <c r="D1314" s="12"/>
      <c r="E1314" s="10" t="str">
        <f t="shared" si="101"/>
        <v/>
      </c>
      <c r="F1314" s="16"/>
      <c r="G1314" s="13"/>
      <c r="H1314" s="6"/>
      <c r="I1314" s="6"/>
      <c r="J1314" s="11" t="str">
        <f t="shared" si="102"/>
        <v/>
      </c>
      <c r="K1314" s="17" t="str">
        <f t="shared" si="103"/>
        <v/>
      </c>
      <c r="L1314" s="18" t="str">
        <f t="shared" si="104"/>
        <v/>
      </c>
      <c r="M1314" s="18" t="str">
        <f>IF(J1314&lt;&gt;-1,"",ROUND(F1314*IFERROR(INDEX(Stocuri!$G$5:$G$204,MATCH(D1314,Coduri,0)),0),2))</f>
        <v/>
      </c>
      <c r="N1314" s="19" t="str">
        <f t="shared" si="105"/>
        <v/>
      </c>
    </row>
    <row r="1315" spans="2:14" x14ac:dyDescent="0.2">
      <c r="B1315" s="15"/>
      <c r="C1315" s="6"/>
      <c r="D1315" s="12"/>
      <c r="E1315" s="10" t="str">
        <f t="shared" si="101"/>
        <v/>
      </c>
      <c r="F1315" s="16"/>
      <c r="G1315" s="13"/>
      <c r="H1315" s="6"/>
      <c r="I1315" s="6"/>
      <c r="J1315" s="11" t="str">
        <f t="shared" si="102"/>
        <v/>
      </c>
      <c r="K1315" s="17" t="str">
        <f t="shared" si="103"/>
        <v/>
      </c>
      <c r="L1315" s="18" t="str">
        <f t="shared" si="104"/>
        <v/>
      </c>
      <c r="M1315" s="18" t="str">
        <f>IF(J1315&lt;&gt;-1,"",ROUND(F1315*IFERROR(INDEX(Stocuri!$G$5:$G$204,MATCH(D1315,Coduri,0)),0),2))</f>
        <v/>
      </c>
      <c r="N1315" s="19" t="str">
        <f t="shared" si="105"/>
        <v/>
      </c>
    </row>
    <row r="1316" spans="2:14" x14ac:dyDescent="0.2">
      <c r="B1316" s="15"/>
      <c r="C1316" s="6"/>
      <c r="D1316" s="12"/>
      <c r="E1316" s="10" t="str">
        <f t="shared" si="101"/>
        <v/>
      </c>
      <c r="F1316" s="16"/>
      <c r="G1316" s="13"/>
      <c r="H1316" s="6"/>
      <c r="I1316" s="6"/>
      <c r="J1316" s="11" t="str">
        <f t="shared" si="102"/>
        <v/>
      </c>
      <c r="K1316" s="17" t="str">
        <f t="shared" si="103"/>
        <v/>
      </c>
      <c r="L1316" s="18" t="str">
        <f t="shared" si="104"/>
        <v/>
      </c>
      <c r="M1316" s="18" t="str">
        <f>IF(J1316&lt;&gt;-1,"",ROUND(F1316*IFERROR(INDEX(Stocuri!$G$5:$G$204,MATCH(D1316,Coduri,0)),0),2))</f>
        <v/>
      </c>
      <c r="N1316" s="19" t="str">
        <f t="shared" si="105"/>
        <v/>
      </c>
    </row>
    <row r="1317" spans="2:14" x14ac:dyDescent="0.2">
      <c r="B1317" s="15"/>
      <c r="C1317" s="6"/>
      <c r="D1317" s="12"/>
      <c r="E1317" s="10" t="str">
        <f t="shared" si="101"/>
        <v/>
      </c>
      <c r="F1317" s="16"/>
      <c r="G1317" s="13"/>
      <c r="H1317" s="6"/>
      <c r="I1317" s="6"/>
      <c r="J1317" s="11" t="str">
        <f t="shared" si="102"/>
        <v/>
      </c>
      <c r="K1317" s="17" t="str">
        <f t="shared" si="103"/>
        <v/>
      </c>
      <c r="L1317" s="18" t="str">
        <f t="shared" si="104"/>
        <v/>
      </c>
      <c r="M1317" s="18" t="str">
        <f>IF(J1317&lt;&gt;-1,"",ROUND(F1317*IFERROR(INDEX(Stocuri!$G$5:$G$204,MATCH(D1317,Coduri,0)),0),2))</f>
        <v/>
      </c>
      <c r="N1317" s="19" t="str">
        <f t="shared" si="105"/>
        <v/>
      </c>
    </row>
    <row r="1318" spans="2:14" x14ac:dyDescent="0.2">
      <c r="B1318" s="15"/>
      <c r="C1318" s="6"/>
      <c r="D1318" s="12"/>
      <c r="E1318" s="10" t="str">
        <f t="shared" si="101"/>
        <v/>
      </c>
      <c r="F1318" s="16"/>
      <c r="G1318" s="13"/>
      <c r="H1318" s="6"/>
      <c r="I1318" s="6"/>
      <c r="J1318" s="11" t="str">
        <f t="shared" si="102"/>
        <v/>
      </c>
      <c r="K1318" s="17" t="str">
        <f t="shared" si="103"/>
        <v/>
      </c>
      <c r="L1318" s="18" t="str">
        <f t="shared" si="104"/>
        <v/>
      </c>
      <c r="M1318" s="18" t="str">
        <f>IF(J1318&lt;&gt;-1,"",ROUND(F1318*IFERROR(INDEX(Stocuri!$G$5:$G$204,MATCH(D1318,Coduri,0)),0),2))</f>
        <v/>
      </c>
      <c r="N1318" s="19" t="str">
        <f t="shared" si="105"/>
        <v/>
      </c>
    </row>
    <row r="1319" spans="2:14" x14ac:dyDescent="0.2">
      <c r="B1319" s="15"/>
      <c r="C1319" s="6"/>
      <c r="D1319" s="12"/>
      <c r="E1319" s="10" t="str">
        <f t="shared" si="101"/>
        <v/>
      </c>
      <c r="F1319" s="16"/>
      <c r="G1319" s="13"/>
      <c r="H1319" s="6"/>
      <c r="I1319" s="6"/>
      <c r="J1319" s="11" t="str">
        <f t="shared" si="102"/>
        <v/>
      </c>
      <c r="K1319" s="17" t="str">
        <f t="shared" si="103"/>
        <v/>
      </c>
      <c r="L1319" s="18" t="str">
        <f t="shared" si="104"/>
        <v/>
      </c>
      <c r="M1319" s="18" t="str">
        <f>IF(J1319&lt;&gt;-1,"",ROUND(F1319*IFERROR(INDEX(Stocuri!$G$5:$G$204,MATCH(D1319,Coduri,0)),0),2))</f>
        <v/>
      </c>
      <c r="N1319" s="19" t="str">
        <f t="shared" si="105"/>
        <v/>
      </c>
    </row>
    <row r="1320" spans="2:14" x14ac:dyDescent="0.2">
      <c r="B1320" s="15"/>
      <c r="C1320" s="6"/>
      <c r="D1320" s="12"/>
      <c r="E1320" s="10" t="str">
        <f t="shared" si="101"/>
        <v/>
      </c>
      <c r="F1320" s="16"/>
      <c r="G1320" s="13"/>
      <c r="H1320" s="6"/>
      <c r="I1320" s="6"/>
      <c r="J1320" s="11" t="str">
        <f t="shared" si="102"/>
        <v/>
      </c>
      <c r="K1320" s="17" t="str">
        <f t="shared" si="103"/>
        <v/>
      </c>
      <c r="L1320" s="18" t="str">
        <f t="shared" si="104"/>
        <v/>
      </c>
      <c r="M1320" s="18" t="str">
        <f>IF(J1320&lt;&gt;-1,"",ROUND(F1320*IFERROR(INDEX(Stocuri!$G$5:$G$204,MATCH(D1320,Coduri,0)),0),2))</f>
        <v/>
      </c>
      <c r="N1320" s="19" t="str">
        <f t="shared" si="105"/>
        <v/>
      </c>
    </row>
    <row r="1321" spans="2:14" x14ac:dyDescent="0.2">
      <c r="B1321" s="15"/>
      <c r="C1321" s="6"/>
      <c r="D1321" s="12"/>
      <c r="E1321" s="10" t="str">
        <f t="shared" si="101"/>
        <v/>
      </c>
      <c r="F1321" s="16"/>
      <c r="G1321" s="13"/>
      <c r="H1321" s="6"/>
      <c r="I1321" s="6"/>
      <c r="J1321" s="11" t="str">
        <f t="shared" si="102"/>
        <v/>
      </c>
      <c r="K1321" s="17" t="str">
        <f t="shared" si="103"/>
        <v/>
      </c>
      <c r="L1321" s="18" t="str">
        <f t="shared" si="104"/>
        <v/>
      </c>
      <c r="M1321" s="18" t="str">
        <f>IF(J1321&lt;&gt;-1,"",ROUND(F1321*IFERROR(INDEX(Stocuri!$G$5:$G$204,MATCH(D1321,Coduri,0)),0),2))</f>
        <v/>
      </c>
      <c r="N1321" s="19" t="str">
        <f t="shared" si="105"/>
        <v/>
      </c>
    </row>
    <row r="1322" spans="2:14" x14ac:dyDescent="0.2">
      <c r="B1322" s="15"/>
      <c r="C1322" s="6"/>
      <c r="D1322" s="12"/>
      <c r="E1322" s="10" t="str">
        <f t="shared" si="101"/>
        <v/>
      </c>
      <c r="F1322" s="16"/>
      <c r="G1322" s="13"/>
      <c r="H1322" s="6"/>
      <c r="I1322" s="6"/>
      <c r="J1322" s="11" t="str">
        <f t="shared" si="102"/>
        <v/>
      </c>
      <c r="K1322" s="17" t="str">
        <f t="shared" si="103"/>
        <v/>
      </c>
      <c r="L1322" s="18" t="str">
        <f t="shared" si="104"/>
        <v/>
      </c>
      <c r="M1322" s="18" t="str">
        <f>IF(J1322&lt;&gt;-1,"",ROUND(F1322*IFERROR(INDEX(Stocuri!$G$5:$G$204,MATCH(D1322,Coduri,0)),0),2))</f>
        <v/>
      </c>
      <c r="N1322" s="19" t="str">
        <f t="shared" si="105"/>
        <v/>
      </c>
    </row>
    <row r="1323" spans="2:14" x14ac:dyDescent="0.2">
      <c r="B1323" s="15"/>
      <c r="C1323" s="6"/>
      <c r="D1323" s="12"/>
      <c r="E1323" s="10" t="str">
        <f t="shared" si="101"/>
        <v/>
      </c>
      <c r="F1323" s="16"/>
      <c r="G1323" s="13"/>
      <c r="H1323" s="6"/>
      <c r="I1323" s="6"/>
      <c r="J1323" s="11" t="str">
        <f t="shared" si="102"/>
        <v/>
      </c>
      <c r="K1323" s="17" t="str">
        <f t="shared" si="103"/>
        <v/>
      </c>
      <c r="L1323" s="18" t="str">
        <f t="shared" si="104"/>
        <v/>
      </c>
      <c r="M1323" s="18" t="str">
        <f>IF(J1323&lt;&gt;-1,"",ROUND(F1323*IFERROR(INDEX(Stocuri!$G$5:$G$204,MATCH(D1323,Coduri,0)),0),2))</f>
        <v/>
      </c>
      <c r="N1323" s="19" t="str">
        <f t="shared" si="105"/>
        <v/>
      </c>
    </row>
    <row r="1324" spans="2:14" x14ac:dyDescent="0.2">
      <c r="B1324" s="15"/>
      <c r="C1324" s="6"/>
      <c r="D1324" s="12"/>
      <c r="E1324" s="10" t="str">
        <f t="shared" si="101"/>
        <v/>
      </c>
      <c r="F1324" s="16"/>
      <c r="G1324" s="13"/>
      <c r="H1324" s="6"/>
      <c r="I1324" s="6"/>
      <c r="J1324" s="11" t="str">
        <f t="shared" si="102"/>
        <v/>
      </c>
      <c r="K1324" s="17" t="str">
        <f t="shared" si="103"/>
        <v/>
      </c>
      <c r="L1324" s="18" t="str">
        <f t="shared" si="104"/>
        <v/>
      </c>
      <c r="M1324" s="18" t="str">
        <f>IF(J1324&lt;&gt;-1,"",ROUND(F1324*IFERROR(INDEX(Stocuri!$G$5:$G$204,MATCH(D1324,Coduri,0)),0),2))</f>
        <v/>
      </c>
      <c r="N1324" s="19" t="str">
        <f t="shared" si="105"/>
        <v/>
      </c>
    </row>
    <row r="1325" spans="2:14" x14ac:dyDescent="0.2">
      <c r="B1325" s="15"/>
      <c r="C1325" s="6"/>
      <c r="D1325" s="12"/>
      <c r="E1325" s="10" t="str">
        <f t="shared" si="101"/>
        <v/>
      </c>
      <c r="F1325" s="16"/>
      <c r="G1325" s="13"/>
      <c r="H1325" s="6"/>
      <c r="I1325" s="6"/>
      <c r="J1325" s="11" t="str">
        <f t="shared" si="102"/>
        <v/>
      </c>
      <c r="K1325" s="17" t="str">
        <f t="shared" si="103"/>
        <v/>
      </c>
      <c r="L1325" s="18" t="str">
        <f t="shared" si="104"/>
        <v/>
      </c>
      <c r="M1325" s="18" t="str">
        <f>IF(J1325&lt;&gt;-1,"",ROUND(F1325*IFERROR(INDEX(Stocuri!$G$5:$G$204,MATCH(D1325,Coduri,0)),0),2))</f>
        <v/>
      </c>
      <c r="N1325" s="19" t="str">
        <f t="shared" si="105"/>
        <v/>
      </c>
    </row>
    <row r="1326" spans="2:14" x14ac:dyDescent="0.2">
      <c r="B1326" s="15"/>
      <c r="C1326" s="6"/>
      <c r="D1326" s="12"/>
      <c r="E1326" s="10" t="str">
        <f t="shared" si="101"/>
        <v/>
      </c>
      <c r="F1326" s="16"/>
      <c r="G1326" s="13"/>
      <c r="H1326" s="6"/>
      <c r="I1326" s="6"/>
      <c r="J1326" s="11" t="str">
        <f t="shared" si="102"/>
        <v/>
      </c>
      <c r="K1326" s="17" t="str">
        <f t="shared" si="103"/>
        <v/>
      </c>
      <c r="L1326" s="18" t="str">
        <f t="shared" si="104"/>
        <v/>
      </c>
      <c r="M1326" s="18" t="str">
        <f>IF(J1326&lt;&gt;-1,"",ROUND(F1326*IFERROR(INDEX(Stocuri!$G$5:$G$204,MATCH(D1326,Coduri,0)),0),2))</f>
        <v/>
      </c>
      <c r="N1326" s="19" t="str">
        <f t="shared" si="105"/>
        <v/>
      </c>
    </row>
    <row r="1327" spans="2:14" x14ac:dyDescent="0.2">
      <c r="B1327" s="15"/>
      <c r="C1327" s="6"/>
      <c r="D1327" s="12"/>
      <c r="E1327" s="10" t="str">
        <f t="shared" si="101"/>
        <v/>
      </c>
      <c r="F1327" s="16"/>
      <c r="G1327" s="13"/>
      <c r="H1327" s="6"/>
      <c r="I1327" s="6"/>
      <c r="J1327" s="11" t="str">
        <f t="shared" si="102"/>
        <v/>
      </c>
      <c r="K1327" s="17" t="str">
        <f t="shared" si="103"/>
        <v/>
      </c>
      <c r="L1327" s="18" t="str">
        <f t="shared" si="104"/>
        <v/>
      </c>
      <c r="M1327" s="18" t="str">
        <f>IF(J1327&lt;&gt;-1,"",ROUND(F1327*IFERROR(INDEX(Stocuri!$G$5:$G$204,MATCH(D1327,Coduri,0)),0),2))</f>
        <v/>
      </c>
      <c r="N1327" s="19" t="str">
        <f t="shared" si="105"/>
        <v/>
      </c>
    </row>
    <row r="1328" spans="2:14" x14ac:dyDescent="0.2">
      <c r="B1328" s="15"/>
      <c r="C1328" s="6"/>
      <c r="D1328" s="12"/>
      <c r="E1328" s="10" t="str">
        <f t="shared" si="101"/>
        <v/>
      </c>
      <c r="F1328" s="16"/>
      <c r="G1328" s="13"/>
      <c r="H1328" s="6"/>
      <c r="I1328" s="6"/>
      <c r="J1328" s="11" t="str">
        <f t="shared" si="102"/>
        <v/>
      </c>
      <c r="K1328" s="17" t="str">
        <f t="shared" si="103"/>
        <v/>
      </c>
      <c r="L1328" s="18" t="str">
        <f t="shared" si="104"/>
        <v/>
      </c>
      <c r="M1328" s="18" t="str">
        <f>IF(J1328&lt;&gt;-1,"",ROUND(F1328*IFERROR(INDEX(Stocuri!$G$5:$G$204,MATCH(D1328,Coduri,0)),0),2))</f>
        <v/>
      </c>
      <c r="N1328" s="19" t="str">
        <f t="shared" si="105"/>
        <v/>
      </c>
    </row>
    <row r="1329" spans="2:14" x14ac:dyDescent="0.2">
      <c r="B1329" s="15"/>
      <c r="C1329" s="6"/>
      <c r="D1329" s="12"/>
      <c r="E1329" s="10" t="str">
        <f t="shared" si="101"/>
        <v/>
      </c>
      <c r="F1329" s="16"/>
      <c r="G1329" s="13"/>
      <c r="H1329" s="6"/>
      <c r="I1329" s="6"/>
      <c r="J1329" s="11" t="str">
        <f t="shared" si="102"/>
        <v/>
      </c>
      <c r="K1329" s="17" t="str">
        <f t="shared" si="103"/>
        <v/>
      </c>
      <c r="L1329" s="18" t="str">
        <f t="shared" si="104"/>
        <v/>
      </c>
      <c r="M1329" s="18" t="str">
        <f>IF(J1329&lt;&gt;-1,"",ROUND(F1329*IFERROR(INDEX(Stocuri!$G$5:$G$204,MATCH(D1329,Coduri,0)),0),2))</f>
        <v/>
      </c>
      <c r="N1329" s="19" t="str">
        <f t="shared" si="105"/>
        <v/>
      </c>
    </row>
    <row r="1330" spans="2:14" x14ac:dyDescent="0.2">
      <c r="B1330" s="15"/>
      <c r="C1330" s="6"/>
      <c r="D1330" s="12"/>
      <c r="E1330" s="10" t="str">
        <f t="shared" si="101"/>
        <v/>
      </c>
      <c r="F1330" s="16"/>
      <c r="G1330" s="13"/>
      <c r="H1330" s="6"/>
      <c r="I1330" s="6"/>
      <c r="J1330" s="11" t="str">
        <f t="shared" si="102"/>
        <v/>
      </c>
      <c r="K1330" s="17" t="str">
        <f t="shared" si="103"/>
        <v/>
      </c>
      <c r="L1330" s="18" t="str">
        <f t="shared" si="104"/>
        <v/>
      </c>
      <c r="M1330" s="18" t="str">
        <f>IF(J1330&lt;&gt;-1,"",ROUND(F1330*IFERROR(INDEX(Stocuri!$G$5:$G$204,MATCH(D1330,Coduri,0)),0),2))</f>
        <v/>
      </c>
      <c r="N1330" s="19" t="str">
        <f t="shared" si="105"/>
        <v/>
      </c>
    </row>
    <row r="1331" spans="2:14" x14ac:dyDescent="0.2">
      <c r="B1331" s="15"/>
      <c r="C1331" s="6"/>
      <c r="D1331" s="12"/>
      <c r="E1331" s="10" t="str">
        <f t="shared" si="101"/>
        <v/>
      </c>
      <c r="F1331" s="16"/>
      <c r="G1331" s="13"/>
      <c r="H1331" s="6"/>
      <c r="I1331" s="6"/>
      <c r="J1331" s="11" t="str">
        <f t="shared" si="102"/>
        <v/>
      </c>
      <c r="K1331" s="17" t="str">
        <f t="shared" si="103"/>
        <v/>
      </c>
      <c r="L1331" s="18" t="str">
        <f t="shared" si="104"/>
        <v/>
      </c>
      <c r="M1331" s="18" t="str">
        <f>IF(J1331&lt;&gt;-1,"",ROUND(F1331*IFERROR(INDEX(Stocuri!$G$5:$G$204,MATCH(D1331,Coduri,0)),0),2))</f>
        <v/>
      </c>
      <c r="N1331" s="19" t="str">
        <f t="shared" si="105"/>
        <v/>
      </c>
    </row>
    <row r="1332" spans="2:14" x14ac:dyDescent="0.2">
      <c r="B1332" s="15"/>
      <c r="C1332" s="6"/>
      <c r="D1332" s="12"/>
      <c r="E1332" s="10" t="str">
        <f t="shared" si="101"/>
        <v/>
      </c>
      <c r="F1332" s="16"/>
      <c r="G1332" s="13"/>
      <c r="H1332" s="6"/>
      <c r="I1332" s="6"/>
      <c r="J1332" s="11" t="str">
        <f t="shared" si="102"/>
        <v/>
      </c>
      <c r="K1332" s="17" t="str">
        <f t="shared" si="103"/>
        <v/>
      </c>
      <c r="L1332" s="18" t="str">
        <f t="shared" si="104"/>
        <v/>
      </c>
      <c r="M1332" s="18" t="str">
        <f>IF(J1332&lt;&gt;-1,"",ROUND(F1332*IFERROR(INDEX(Stocuri!$G$5:$G$204,MATCH(D1332,Coduri,0)),0),2))</f>
        <v/>
      </c>
      <c r="N1332" s="19" t="str">
        <f t="shared" si="105"/>
        <v/>
      </c>
    </row>
    <row r="1333" spans="2:14" x14ac:dyDescent="0.2">
      <c r="B1333" s="15"/>
      <c r="C1333" s="6"/>
      <c r="D1333" s="12"/>
      <c r="E1333" s="10" t="str">
        <f t="shared" si="101"/>
        <v/>
      </c>
      <c r="F1333" s="16"/>
      <c r="G1333" s="13"/>
      <c r="H1333" s="6"/>
      <c r="I1333" s="6"/>
      <c r="J1333" s="11" t="str">
        <f t="shared" si="102"/>
        <v/>
      </c>
      <c r="K1333" s="17" t="str">
        <f t="shared" si="103"/>
        <v/>
      </c>
      <c r="L1333" s="18" t="str">
        <f t="shared" si="104"/>
        <v/>
      </c>
      <c r="M1333" s="18" t="str">
        <f>IF(J1333&lt;&gt;-1,"",ROUND(F1333*IFERROR(INDEX(Stocuri!$G$5:$G$204,MATCH(D1333,Coduri,0)),0),2))</f>
        <v/>
      </c>
      <c r="N1333" s="19" t="str">
        <f t="shared" si="105"/>
        <v/>
      </c>
    </row>
    <row r="1334" spans="2:14" x14ac:dyDescent="0.2">
      <c r="B1334" s="15"/>
      <c r="C1334" s="6"/>
      <c r="D1334" s="12"/>
      <c r="E1334" s="10" t="str">
        <f t="shared" si="101"/>
        <v/>
      </c>
      <c r="F1334" s="16"/>
      <c r="G1334" s="13"/>
      <c r="H1334" s="6"/>
      <c r="I1334" s="6"/>
      <c r="J1334" s="11" t="str">
        <f t="shared" si="102"/>
        <v/>
      </c>
      <c r="K1334" s="17" t="str">
        <f t="shared" si="103"/>
        <v/>
      </c>
      <c r="L1334" s="18" t="str">
        <f t="shared" si="104"/>
        <v/>
      </c>
      <c r="M1334" s="18" t="str">
        <f>IF(J1334&lt;&gt;-1,"",ROUND(F1334*IFERROR(INDEX(Stocuri!$G$5:$G$204,MATCH(D1334,Coduri,0)),0),2))</f>
        <v/>
      </c>
      <c r="N1334" s="19" t="str">
        <f t="shared" si="105"/>
        <v/>
      </c>
    </row>
    <row r="1335" spans="2:14" x14ac:dyDescent="0.2">
      <c r="B1335" s="15"/>
      <c r="C1335" s="6"/>
      <c r="D1335" s="12"/>
      <c r="E1335" s="10" t="str">
        <f t="shared" si="101"/>
        <v/>
      </c>
      <c r="F1335" s="16"/>
      <c r="G1335" s="13"/>
      <c r="H1335" s="6"/>
      <c r="I1335" s="6"/>
      <c r="J1335" s="11" t="str">
        <f t="shared" si="102"/>
        <v/>
      </c>
      <c r="K1335" s="17" t="str">
        <f t="shared" si="103"/>
        <v/>
      </c>
      <c r="L1335" s="18" t="str">
        <f t="shared" si="104"/>
        <v/>
      </c>
      <c r="M1335" s="18" t="str">
        <f>IF(J1335&lt;&gt;-1,"",ROUND(F1335*IFERROR(INDEX(Stocuri!$G$5:$G$204,MATCH(D1335,Coduri,0)),0),2))</f>
        <v/>
      </c>
      <c r="N1335" s="19" t="str">
        <f t="shared" si="105"/>
        <v/>
      </c>
    </row>
    <row r="1336" spans="2:14" x14ac:dyDescent="0.2">
      <c r="B1336" s="15"/>
      <c r="C1336" s="6"/>
      <c r="D1336" s="12"/>
      <c r="E1336" s="10" t="str">
        <f t="shared" si="101"/>
        <v/>
      </c>
      <c r="F1336" s="16"/>
      <c r="G1336" s="13"/>
      <c r="H1336" s="6"/>
      <c r="I1336" s="6"/>
      <c r="J1336" s="11" t="str">
        <f t="shared" si="102"/>
        <v/>
      </c>
      <c r="K1336" s="17" t="str">
        <f t="shared" si="103"/>
        <v/>
      </c>
      <c r="L1336" s="18" t="str">
        <f t="shared" si="104"/>
        <v/>
      </c>
      <c r="M1336" s="18" t="str">
        <f>IF(J1336&lt;&gt;-1,"",ROUND(F1336*IFERROR(INDEX(Stocuri!$G$5:$G$204,MATCH(D1336,Coduri,0)),0),2))</f>
        <v/>
      </c>
      <c r="N1336" s="19" t="str">
        <f t="shared" si="105"/>
        <v/>
      </c>
    </row>
    <row r="1337" spans="2:14" x14ac:dyDescent="0.2">
      <c r="B1337" s="15"/>
      <c r="C1337" s="6"/>
      <c r="D1337" s="12"/>
      <c r="E1337" s="10" t="str">
        <f t="shared" si="101"/>
        <v/>
      </c>
      <c r="F1337" s="16"/>
      <c r="G1337" s="13"/>
      <c r="H1337" s="6"/>
      <c r="I1337" s="6"/>
      <c r="J1337" s="11" t="str">
        <f t="shared" si="102"/>
        <v/>
      </c>
      <c r="K1337" s="17" t="str">
        <f t="shared" si="103"/>
        <v/>
      </c>
      <c r="L1337" s="18" t="str">
        <f t="shared" si="104"/>
        <v/>
      </c>
      <c r="M1337" s="18" t="str">
        <f>IF(J1337&lt;&gt;-1,"",ROUND(F1337*IFERROR(INDEX(Stocuri!$G$5:$G$204,MATCH(D1337,Coduri,0)),0),2))</f>
        <v/>
      </c>
      <c r="N1337" s="19" t="str">
        <f t="shared" si="105"/>
        <v/>
      </c>
    </row>
    <row r="1338" spans="2:14" x14ac:dyDescent="0.2">
      <c r="B1338" s="15"/>
      <c r="C1338" s="6"/>
      <c r="D1338" s="12"/>
      <c r="E1338" s="10" t="str">
        <f t="shared" si="101"/>
        <v/>
      </c>
      <c r="F1338" s="16"/>
      <c r="G1338" s="13"/>
      <c r="H1338" s="6"/>
      <c r="I1338" s="6"/>
      <c r="J1338" s="11" t="str">
        <f t="shared" si="102"/>
        <v/>
      </c>
      <c r="K1338" s="17" t="str">
        <f t="shared" si="103"/>
        <v/>
      </c>
      <c r="L1338" s="18" t="str">
        <f t="shared" si="104"/>
        <v/>
      </c>
      <c r="M1338" s="18" t="str">
        <f>IF(J1338&lt;&gt;-1,"",ROUND(F1338*IFERROR(INDEX(Stocuri!$G$5:$G$204,MATCH(D1338,Coduri,0)),0),2))</f>
        <v/>
      </c>
      <c r="N1338" s="19" t="str">
        <f t="shared" si="105"/>
        <v/>
      </c>
    </row>
    <row r="1339" spans="2:14" x14ac:dyDescent="0.2">
      <c r="B1339" s="15"/>
      <c r="C1339" s="6"/>
      <c r="D1339" s="12"/>
      <c r="E1339" s="10" t="str">
        <f t="shared" si="101"/>
        <v/>
      </c>
      <c r="F1339" s="16"/>
      <c r="G1339" s="13"/>
      <c r="H1339" s="6"/>
      <c r="I1339" s="6"/>
      <c r="J1339" s="11" t="str">
        <f t="shared" si="102"/>
        <v/>
      </c>
      <c r="K1339" s="17" t="str">
        <f t="shared" si="103"/>
        <v/>
      </c>
      <c r="L1339" s="18" t="str">
        <f t="shared" si="104"/>
        <v/>
      </c>
      <c r="M1339" s="18" t="str">
        <f>IF(J1339&lt;&gt;-1,"",ROUND(F1339*IFERROR(INDEX(Stocuri!$G$5:$G$204,MATCH(D1339,Coduri,0)),0),2))</f>
        <v/>
      </c>
      <c r="N1339" s="19" t="str">
        <f t="shared" si="105"/>
        <v/>
      </c>
    </row>
    <row r="1340" spans="2:14" x14ac:dyDescent="0.2">
      <c r="B1340" s="15"/>
      <c r="C1340" s="6"/>
      <c r="D1340" s="12"/>
      <c r="E1340" s="10" t="str">
        <f t="shared" si="101"/>
        <v/>
      </c>
      <c r="F1340" s="16"/>
      <c r="G1340" s="13"/>
      <c r="H1340" s="6"/>
      <c r="I1340" s="6"/>
      <c r="J1340" s="11" t="str">
        <f t="shared" si="102"/>
        <v/>
      </c>
      <c r="K1340" s="17" t="str">
        <f t="shared" si="103"/>
        <v/>
      </c>
      <c r="L1340" s="18" t="str">
        <f t="shared" si="104"/>
        <v/>
      </c>
      <c r="M1340" s="18" t="str">
        <f>IF(J1340&lt;&gt;-1,"",ROUND(F1340*IFERROR(INDEX(Stocuri!$G$5:$G$204,MATCH(D1340,Coduri,0)),0),2))</f>
        <v/>
      </c>
      <c r="N1340" s="19" t="str">
        <f t="shared" si="105"/>
        <v/>
      </c>
    </row>
    <row r="1341" spans="2:14" x14ac:dyDescent="0.2">
      <c r="B1341" s="15"/>
      <c r="C1341" s="6"/>
      <c r="D1341" s="12"/>
      <c r="E1341" s="10" t="str">
        <f t="shared" si="101"/>
        <v/>
      </c>
      <c r="F1341" s="16"/>
      <c r="G1341" s="13"/>
      <c r="H1341" s="6"/>
      <c r="I1341" s="6"/>
      <c r="J1341" s="11" t="str">
        <f t="shared" si="102"/>
        <v/>
      </c>
      <c r="K1341" s="17" t="str">
        <f t="shared" si="103"/>
        <v/>
      </c>
      <c r="L1341" s="18" t="str">
        <f t="shared" si="104"/>
        <v/>
      </c>
      <c r="M1341" s="18" t="str">
        <f>IF(J1341&lt;&gt;-1,"",ROUND(F1341*IFERROR(INDEX(Stocuri!$G$5:$G$204,MATCH(D1341,Coduri,0)),0),2))</f>
        <v/>
      </c>
      <c r="N1341" s="19" t="str">
        <f t="shared" si="105"/>
        <v/>
      </c>
    </row>
    <row r="1342" spans="2:14" x14ac:dyDescent="0.2">
      <c r="B1342" s="15"/>
      <c r="C1342" s="6"/>
      <c r="D1342" s="12"/>
      <c r="E1342" s="10" t="str">
        <f t="shared" si="101"/>
        <v/>
      </c>
      <c r="F1342" s="16"/>
      <c r="G1342" s="13"/>
      <c r="H1342" s="6"/>
      <c r="I1342" s="6"/>
      <c r="J1342" s="11" t="str">
        <f t="shared" si="102"/>
        <v/>
      </c>
      <c r="K1342" s="17" t="str">
        <f t="shared" si="103"/>
        <v/>
      </c>
      <c r="L1342" s="18" t="str">
        <f t="shared" si="104"/>
        <v/>
      </c>
      <c r="M1342" s="18" t="str">
        <f>IF(J1342&lt;&gt;-1,"",ROUND(F1342*IFERROR(INDEX(Stocuri!$G$5:$G$204,MATCH(D1342,Coduri,0)),0),2))</f>
        <v/>
      </c>
      <c r="N1342" s="19" t="str">
        <f t="shared" si="105"/>
        <v/>
      </c>
    </row>
    <row r="1343" spans="2:14" x14ac:dyDescent="0.2">
      <c r="B1343" s="15"/>
      <c r="C1343" s="6"/>
      <c r="D1343" s="12"/>
      <c r="E1343" s="10" t="str">
        <f t="shared" si="101"/>
        <v/>
      </c>
      <c r="F1343" s="16"/>
      <c r="G1343" s="13"/>
      <c r="H1343" s="6"/>
      <c r="I1343" s="6"/>
      <c r="J1343" s="11" t="str">
        <f t="shared" si="102"/>
        <v/>
      </c>
      <c r="K1343" s="17" t="str">
        <f t="shared" si="103"/>
        <v/>
      </c>
      <c r="L1343" s="18" t="str">
        <f t="shared" si="104"/>
        <v/>
      </c>
      <c r="M1343" s="18" t="str">
        <f>IF(J1343&lt;&gt;-1,"",ROUND(F1343*IFERROR(INDEX(Stocuri!$G$5:$G$204,MATCH(D1343,Coduri,0)),0),2))</f>
        <v/>
      </c>
      <c r="N1343" s="19" t="str">
        <f t="shared" si="105"/>
        <v/>
      </c>
    </row>
    <row r="1344" spans="2:14" x14ac:dyDescent="0.2">
      <c r="B1344" s="15"/>
      <c r="C1344" s="6"/>
      <c r="D1344" s="12"/>
      <c r="E1344" s="10" t="str">
        <f t="shared" si="101"/>
        <v/>
      </c>
      <c r="F1344" s="16"/>
      <c r="G1344" s="13"/>
      <c r="H1344" s="6"/>
      <c r="I1344" s="6"/>
      <c r="J1344" s="11" t="str">
        <f t="shared" si="102"/>
        <v/>
      </c>
      <c r="K1344" s="17" t="str">
        <f t="shared" si="103"/>
        <v/>
      </c>
      <c r="L1344" s="18" t="str">
        <f t="shared" si="104"/>
        <v/>
      </c>
      <c r="M1344" s="18" t="str">
        <f>IF(J1344&lt;&gt;-1,"",ROUND(F1344*IFERROR(INDEX(Stocuri!$G$5:$G$204,MATCH(D1344,Coduri,0)),0),2))</f>
        <v/>
      </c>
      <c r="N1344" s="19" t="str">
        <f t="shared" si="105"/>
        <v/>
      </c>
    </row>
    <row r="1345" spans="2:14" x14ac:dyDescent="0.2">
      <c r="B1345" s="15"/>
      <c r="C1345" s="6"/>
      <c r="D1345" s="12"/>
      <c r="E1345" s="10" t="str">
        <f t="shared" si="101"/>
        <v/>
      </c>
      <c r="F1345" s="16"/>
      <c r="G1345" s="13"/>
      <c r="H1345" s="6"/>
      <c r="I1345" s="6"/>
      <c r="J1345" s="11" t="str">
        <f t="shared" si="102"/>
        <v/>
      </c>
      <c r="K1345" s="17" t="str">
        <f t="shared" si="103"/>
        <v/>
      </c>
      <c r="L1345" s="18" t="str">
        <f t="shared" si="104"/>
        <v/>
      </c>
      <c r="M1345" s="18" t="str">
        <f>IF(J1345&lt;&gt;-1,"",ROUND(F1345*IFERROR(INDEX(Stocuri!$G$5:$G$204,MATCH(D1345,Coduri,0)),0),2))</f>
        <v/>
      </c>
      <c r="N1345" s="19" t="str">
        <f t="shared" si="105"/>
        <v/>
      </c>
    </row>
    <row r="1346" spans="2:14" x14ac:dyDescent="0.2">
      <c r="B1346" s="15"/>
      <c r="C1346" s="6"/>
      <c r="D1346" s="12"/>
      <c r="E1346" s="10" t="str">
        <f t="shared" si="101"/>
        <v/>
      </c>
      <c r="F1346" s="16"/>
      <c r="G1346" s="13"/>
      <c r="H1346" s="6"/>
      <c r="I1346" s="6"/>
      <c r="J1346" s="11" t="str">
        <f t="shared" si="102"/>
        <v/>
      </c>
      <c r="K1346" s="17" t="str">
        <f t="shared" si="103"/>
        <v/>
      </c>
      <c r="L1346" s="18" t="str">
        <f t="shared" si="104"/>
        <v/>
      </c>
      <c r="M1346" s="18" t="str">
        <f>IF(J1346&lt;&gt;-1,"",ROUND(F1346*IFERROR(INDEX(Stocuri!$G$5:$G$204,MATCH(D1346,Coduri,0)),0),2))</f>
        <v/>
      </c>
      <c r="N1346" s="19" t="str">
        <f t="shared" si="105"/>
        <v/>
      </c>
    </row>
    <row r="1347" spans="2:14" x14ac:dyDescent="0.2">
      <c r="B1347" s="15"/>
      <c r="C1347" s="6"/>
      <c r="D1347" s="12"/>
      <c r="E1347" s="10" t="str">
        <f t="shared" si="101"/>
        <v/>
      </c>
      <c r="F1347" s="16"/>
      <c r="G1347" s="13"/>
      <c r="H1347" s="6"/>
      <c r="I1347" s="6"/>
      <c r="J1347" s="11" t="str">
        <f t="shared" si="102"/>
        <v/>
      </c>
      <c r="K1347" s="17" t="str">
        <f t="shared" si="103"/>
        <v/>
      </c>
      <c r="L1347" s="18" t="str">
        <f t="shared" si="104"/>
        <v/>
      </c>
      <c r="M1347" s="18" t="str">
        <f>IF(J1347&lt;&gt;-1,"",ROUND(F1347*IFERROR(INDEX(Stocuri!$G$5:$G$204,MATCH(D1347,Coduri,0)),0),2))</f>
        <v/>
      </c>
      <c r="N1347" s="19" t="str">
        <f t="shared" si="105"/>
        <v/>
      </c>
    </row>
    <row r="1348" spans="2:14" x14ac:dyDescent="0.2">
      <c r="B1348" s="15"/>
      <c r="C1348" s="6"/>
      <c r="D1348" s="12"/>
      <c r="E1348" s="10" t="str">
        <f t="shared" si="101"/>
        <v/>
      </c>
      <c r="F1348" s="16"/>
      <c r="G1348" s="13"/>
      <c r="H1348" s="6"/>
      <c r="I1348" s="6"/>
      <c r="J1348" s="11" t="str">
        <f t="shared" si="102"/>
        <v/>
      </c>
      <c r="K1348" s="17" t="str">
        <f t="shared" si="103"/>
        <v/>
      </c>
      <c r="L1348" s="18" t="str">
        <f t="shared" si="104"/>
        <v/>
      </c>
      <c r="M1348" s="18" t="str">
        <f>IF(J1348&lt;&gt;-1,"",ROUND(F1348*IFERROR(INDEX(Stocuri!$G$5:$G$204,MATCH(D1348,Coduri,0)),0),2))</f>
        <v/>
      </c>
      <c r="N1348" s="19" t="str">
        <f t="shared" si="105"/>
        <v/>
      </c>
    </row>
    <row r="1349" spans="2:14" x14ac:dyDescent="0.2">
      <c r="B1349" s="15"/>
      <c r="C1349" s="6"/>
      <c r="D1349" s="12"/>
      <c r="E1349" s="10" t="str">
        <f t="shared" ref="E1349:E1412" si="106">IF(D1349="","",IFERROR(VLOOKUP(D1349,Catalog,2,FALSE),""))</f>
        <v/>
      </c>
      <c r="F1349" s="16"/>
      <c r="G1349" s="13"/>
      <c r="H1349" s="6"/>
      <c r="I1349" s="6"/>
      <c r="J1349" s="11" t="str">
        <f t="shared" ref="J1349:J1412" si="107">IF(C1349="","",IFERROR(VLOOKUP(C1349,TipSemn,2,FALSE),""))</f>
        <v/>
      </c>
      <c r="K1349" s="17" t="str">
        <f t="shared" ref="K1349:K1412" si="108">IF(OR(J1349="",F1349=""),"",J1349*F1349)</f>
        <v/>
      </c>
      <c r="L1349" s="18" t="str">
        <f t="shared" ref="L1349:L1412" si="109">IF(OR(J1349&lt;&gt;1,G1349=""),"",ROUND(F1349*G1349,2))</f>
        <v/>
      </c>
      <c r="M1349" s="18" t="str">
        <f>IF(J1349&lt;&gt;-1,"",ROUND(F1349*IFERROR(INDEX(Stocuri!$G$5:$G$204,MATCH(D1349,Coduri,0)),0),2))</f>
        <v/>
      </c>
      <c r="N1349" s="19" t="str">
        <f t="shared" ref="N1349:N1412" si="110">IF(AND(B1349="",D1349=""),"",TRIM(IF(OR(B1349="",C1349="",D1349="",F1349=""),"Date incomplete. ","")&amp;IF(AND(D1349&lt;&gt;"",E1349=""),"Cod necunoscut. ","")&amp;IF(AND(J1349=1,C1349&lt;&gt;"Retur de la client",C1349&lt;&gt;"Ajustare inventar +",G1349=""),"Lipsește prețul de intrare. ","")&amp;IF(AND(J1349=-1,D1349&lt;&gt;"",SUMIFS($K$5:$K$2004,$D$5:$D$2004,D1349,$B$5:$B$2004,"&lt;="&amp;B1349)&lt;0),"Stoc insuficient la această dată. ","")&amp;IF(AND(C1349&lt;&gt;"Stoc inițial",H1349=""),"Lipsește documentul. ","")))</f>
        <v/>
      </c>
    </row>
    <row r="1350" spans="2:14" x14ac:dyDescent="0.2">
      <c r="B1350" s="15"/>
      <c r="C1350" s="6"/>
      <c r="D1350" s="12"/>
      <c r="E1350" s="10" t="str">
        <f t="shared" si="106"/>
        <v/>
      </c>
      <c r="F1350" s="16"/>
      <c r="G1350" s="13"/>
      <c r="H1350" s="6"/>
      <c r="I1350" s="6"/>
      <c r="J1350" s="11" t="str">
        <f t="shared" si="107"/>
        <v/>
      </c>
      <c r="K1350" s="17" t="str">
        <f t="shared" si="108"/>
        <v/>
      </c>
      <c r="L1350" s="18" t="str">
        <f t="shared" si="109"/>
        <v/>
      </c>
      <c r="M1350" s="18" t="str">
        <f>IF(J1350&lt;&gt;-1,"",ROUND(F1350*IFERROR(INDEX(Stocuri!$G$5:$G$204,MATCH(D1350,Coduri,0)),0),2))</f>
        <v/>
      </c>
      <c r="N1350" s="19" t="str">
        <f t="shared" si="110"/>
        <v/>
      </c>
    </row>
    <row r="1351" spans="2:14" x14ac:dyDescent="0.2">
      <c r="B1351" s="15"/>
      <c r="C1351" s="6"/>
      <c r="D1351" s="12"/>
      <c r="E1351" s="10" t="str">
        <f t="shared" si="106"/>
        <v/>
      </c>
      <c r="F1351" s="16"/>
      <c r="G1351" s="13"/>
      <c r="H1351" s="6"/>
      <c r="I1351" s="6"/>
      <c r="J1351" s="11" t="str">
        <f t="shared" si="107"/>
        <v/>
      </c>
      <c r="K1351" s="17" t="str">
        <f t="shared" si="108"/>
        <v/>
      </c>
      <c r="L1351" s="18" t="str">
        <f t="shared" si="109"/>
        <v/>
      </c>
      <c r="M1351" s="18" t="str">
        <f>IF(J1351&lt;&gt;-1,"",ROUND(F1351*IFERROR(INDEX(Stocuri!$G$5:$G$204,MATCH(D1351,Coduri,0)),0),2))</f>
        <v/>
      </c>
      <c r="N1351" s="19" t="str">
        <f t="shared" si="110"/>
        <v/>
      </c>
    </row>
    <row r="1352" spans="2:14" x14ac:dyDescent="0.2">
      <c r="B1352" s="15"/>
      <c r="C1352" s="6"/>
      <c r="D1352" s="12"/>
      <c r="E1352" s="10" t="str">
        <f t="shared" si="106"/>
        <v/>
      </c>
      <c r="F1352" s="16"/>
      <c r="G1352" s="13"/>
      <c r="H1352" s="6"/>
      <c r="I1352" s="6"/>
      <c r="J1352" s="11" t="str">
        <f t="shared" si="107"/>
        <v/>
      </c>
      <c r="K1352" s="17" t="str">
        <f t="shared" si="108"/>
        <v/>
      </c>
      <c r="L1352" s="18" t="str">
        <f t="shared" si="109"/>
        <v/>
      </c>
      <c r="M1352" s="18" t="str">
        <f>IF(J1352&lt;&gt;-1,"",ROUND(F1352*IFERROR(INDEX(Stocuri!$G$5:$G$204,MATCH(D1352,Coduri,0)),0),2))</f>
        <v/>
      </c>
      <c r="N1352" s="19" t="str">
        <f t="shared" si="110"/>
        <v/>
      </c>
    </row>
    <row r="1353" spans="2:14" x14ac:dyDescent="0.2">
      <c r="B1353" s="15"/>
      <c r="C1353" s="6"/>
      <c r="D1353" s="12"/>
      <c r="E1353" s="10" t="str">
        <f t="shared" si="106"/>
        <v/>
      </c>
      <c r="F1353" s="16"/>
      <c r="G1353" s="13"/>
      <c r="H1353" s="6"/>
      <c r="I1353" s="6"/>
      <c r="J1353" s="11" t="str">
        <f t="shared" si="107"/>
        <v/>
      </c>
      <c r="K1353" s="17" t="str">
        <f t="shared" si="108"/>
        <v/>
      </c>
      <c r="L1353" s="18" t="str">
        <f t="shared" si="109"/>
        <v/>
      </c>
      <c r="M1353" s="18" t="str">
        <f>IF(J1353&lt;&gt;-1,"",ROUND(F1353*IFERROR(INDEX(Stocuri!$G$5:$G$204,MATCH(D1353,Coduri,0)),0),2))</f>
        <v/>
      </c>
      <c r="N1353" s="19" t="str">
        <f t="shared" si="110"/>
        <v/>
      </c>
    </row>
    <row r="1354" spans="2:14" x14ac:dyDescent="0.2">
      <c r="B1354" s="15"/>
      <c r="C1354" s="6"/>
      <c r="D1354" s="12"/>
      <c r="E1354" s="10" t="str">
        <f t="shared" si="106"/>
        <v/>
      </c>
      <c r="F1354" s="16"/>
      <c r="G1354" s="13"/>
      <c r="H1354" s="6"/>
      <c r="I1354" s="6"/>
      <c r="J1354" s="11" t="str">
        <f t="shared" si="107"/>
        <v/>
      </c>
      <c r="K1354" s="17" t="str">
        <f t="shared" si="108"/>
        <v/>
      </c>
      <c r="L1354" s="18" t="str">
        <f t="shared" si="109"/>
        <v/>
      </c>
      <c r="M1354" s="18" t="str">
        <f>IF(J1354&lt;&gt;-1,"",ROUND(F1354*IFERROR(INDEX(Stocuri!$G$5:$G$204,MATCH(D1354,Coduri,0)),0),2))</f>
        <v/>
      </c>
      <c r="N1354" s="19" t="str">
        <f t="shared" si="110"/>
        <v/>
      </c>
    </row>
    <row r="1355" spans="2:14" x14ac:dyDescent="0.2">
      <c r="B1355" s="15"/>
      <c r="C1355" s="6"/>
      <c r="D1355" s="12"/>
      <c r="E1355" s="10" t="str">
        <f t="shared" si="106"/>
        <v/>
      </c>
      <c r="F1355" s="16"/>
      <c r="G1355" s="13"/>
      <c r="H1355" s="6"/>
      <c r="I1355" s="6"/>
      <c r="J1355" s="11" t="str">
        <f t="shared" si="107"/>
        <v/>
      </c>
      <c r="K1355" s="17" t="str">
        <f t="shared" si="108"/>
        <v/>
      </c>
      <c r="L1355" s="18" t="str">
        <f t="shared" si="109"/>
        <v/>
      </c>
      <c r="M1355" s="18" t="str">
        <f>IF(J1355&lt;&gt;-1,"",ROUND(F1355*IFERROR(INDEX(Stocuri!$G$5:$G$204,MATCH(D1355,Coduri,0)),0),2))</f>
        <v/>
      </c>
      <c r="N1355" s="19" t="str">
        <f t="shared" si="110"/>
        <v/>
      </c>
    </row>
    <row r="1356" spans="2:14" x14ac:dyDescent="0.2">
      <c r="B1356" s="15"/>
      <c r="C1356" s="6"/>
      <c r="D1356" s="12"/>
      <c r="E1356" s="10" t="str">
        <f t="shared" si="106"/>
        <v/>
      </c>
      <c r="F1356" s="16"/>
      <c r="G1356" s="13"/>
      <c r="H1356" s="6"/>
      <c r="I1356" s="6"/>
      <c r="J1356" s="11" t="str">
        <f t="shared" si="107"/>
        <v/>
      </c>
      <c r="K1356" s="17" t="str">
        <f t="shared" si="108"/>
        <v/>
      </c>
      <c r="L1356" s="18" t="str">
        <f t="shared" si="109"/>
        <v/>
      </c>
      <c r="M1356" s="18" t="str">
        <f>IF(J1356&lt;&gt;-1,"",ROUND(F1356*IFERROR(INDEX(Stocuri!$G$5:$G$204,MATCH(D1356,Coduri,0)),0),2))</f>
        <v/>
      </c>
      <c r="N1356" s="19" t="str">
        <f t="shared" si="110"/>
        <v/>
      </c>
    </row>
    <row r="1357" spans="2:14" x14ac:dyDescent="0.2">
      <c r="B1357" s="15"/>
      <c r="C1357" s="6"/>
      <c r="D1357" s="12"/>
      <c r="E1357" s="10" t="str">
        <f t="shared" si="106"/>
        <v/>
      </c>
      <c r="F1357" s="16"/>
      <c r="G1357" s="13"/>
      <c r="H1357" s="6"/>
      <c r="I1357" s="6"/>
      <c r="J1357" s="11" t="str">
        <f t="shared" si="107"/>
        <v/>
      </c>
      <c r="K1357" s="17" t="str">
        <f t="shared" si="108"/>
        <v/>
      </c>
      <c r="L1357" s="18" t="str">
        <f t="shared" si="109"/>
        <v/>
      </c>
      <c r="M1357" s="18" t="str">
        <f>IF(J1357&lt;&gt;-1,"",ROUND(F1357*IFERROR(INDEX(Stocuri!$G$5:$G$204,MATCH(D1357,Coduri,0)),0),2))</f>
        <v/>
      </c>
      <c r="N1357" s="19" t="str">
        <f t="shared" si="110"/>
        <v/>
      </c>
    </row>
    <row r="1358" spans="2:14" x14ac:dyDescent="0.2">
      <c r="B1358" s="15"/>
      <c r="C1358" s="6"/>
      <c r="D1358" s="12"/>
      <c r="E1358" s="10" t="str">
        <f t="shared" si="106"/>
        <v/>
      </c>
      <c r="F1358" s="16"/>
      <c r="G1358" s="13"/>
      <c r="H1358" s="6"/>
      <c r="I1358" s="6"/>
      <c r="J1358" s="11" t="str">
        <f t="shared" si="107"/>
        <v/>
      </c>
      <c r="K1358" s="17" t="str">
        <f t="shared" si="108"/>
        <v/>
      </c>
      <c r="L1358" s="18" t="str">
        <f t="shared" si="109"/>
        <v/>
      </c>
      <c r="M1358" s="18" t="str">
        <f>IF(J1358&lt;&gt;-1,"",ROUND(F1358*IFERROR(INDEX(Stocuri!$G$5:$G$204,MATCH(D1358,Coduri,0)),0),2))</f>
        <v/>
      </c>
      <c r="N1358" s="19" t="str">
        <f t="shared" si="110"/>
        <v/>
      </c>
    </row>
    <row r="1359" spans="2:14" x14ac:dyDescent="0.2">
      <c r="B1359" s="15"/>
      <c r="C1359" s="6"/>
      <c r="D1359" s="12"/>
      <c r="E1359" s="10" t="str">
        <f t="shared" si="106"/>
        <v/>
      </c>
      <c r="F1359" s="16"/>
      <c r="G1359" s="13"/>
      <c r="H1359" s="6"/>
      <c r="I1359" s="6"/>
      <c r="J1359" s="11" t="str">
        <f t="shared" si="107"/>
        <v/>
      </c>
      <c r="K1359" s="17" t="str">
        <f t="shared" si="108"/>
        <v/>
      </c>
      <c r="L1359" s="18" t="str">
        <f t="shared" si="109"/>
        <v/>
      </c>
      <c r="M1359" s="18" t="str">
        <f>IF(J1359&lt;&gt;-1,"",ROUND(F1359*IFERROR(INDEX(Stocuri!$G$5:$G$204,MATCH(D1359,Coduri,0)),0),2))</f>
        <v/>
      </c>
      <c r="N1359" s="19" t="str">
        <f t="shared" si="110"/>
        <v/>
      </c>
    </row>
    <row r="1360" spans="2:14" x14ac:dyDescent="0.2">
      <c r="B1360" s="15"/>
      <c r="C1360" s="6"/>
      <c r="D1360" s="12"/>
      <c r="E1360" s="10" t="str">
        <f t="shared" si="106"/>
        <v/>
      </c>
      <c r="F1360" s="16"/>
      <c r="G1360" s="13"/>
      <c r="H1360" s="6"/>
      <c r="I1360" s="6"/>
      <c r="J1360" s="11" t="str">
        <f t="shared" si="107"/>
        <v/>
      </c>
      <c r="K1360" s="17" t="str">
        <f t="shared" si="108"/>
        <v/>
      </c>
      <c r="L1360" s="18" t="str">
        <f t="shared" si="109"/>
        <v/>
      </c>
      <c r="M1360" s="18" t="str">
        <f>IF(J1360&lt;&gt;-1,"",ROUND(F1360*IFERROR(INDEX(Stocuri!$G$5:$G$204,MATCH(D1360,Coduri,0)),0),2))</f>
        <v/>
      </c>
      <c r="N1360" s="19" t="str">
        <f t="shared" si="110"/>
        <v/>
      </c>
    </row>
    <row r="1361" spans="2:14" x14ac:dyDescent="0.2">
      <c r="B1361" s="15"/>
      <c r="C1361" s="6"/>
      <c r="D1361" s="12"/>
      <c r="E1361" s="10" t="str">
        <f t="shared" si="106"/>
        <v/>
      </c>
      <c r="F1361" s="16"/>
      <c r="G1361" s="13"/>
      <c r="H1361" s="6"/>
      <c r="I1361" s="6"/>
      <c r="J1361" s="11" t="str">
        <f t="shared" si="107"/>
        <v/>
      </c>
      <c r="K1361" s="17" t="str">
        <f t="shared" si="108"/>
        <v/>
      </c>
      <c r="L1361" s="18" t="str">
        <f t="shared" si="109"/>
        <v/>
      </c>
      <c r="M1361" s="18" t="str">
        <f>IF(J1361&lt;&gt;-1,"",ROUND(F1361*IFERROR(INDEX(Stocuri!$G$5:$G$204,MATCH(D1361,Coduri,0)),0),2))</f>
        <v/>
      </c>
      <c r="N1361" s="19" t="str">
        <f t="shared" si="110"/>
        <v/>
      </c>
    </row>
    <row r="1362" spans="2:14" x14ac:dyDescent="0.2">
      <c r="B1362" s="15"/>
      <c r="C1362" s="6"/>
      <c r="D1362" s="12"/>
      <c r="E1362" s="10" t="str">
        <f t="shared" si="106"/>
        <v/>
      </c>
      <c r="F1362" s="16"/>
      <c r="G1362" s="13"/>
      <c r="H1362" s="6"/>
      <c r="I1362" s="6"/>
      <c r="J1362" s="11" t="str">
        <f t="shared" si="107"/>
        <v/>
      </c>
      <c r="K1362" s="17" t="str">
        <f t="shared" si="108"/>
        <v/>
      </c>
      <c r="L1362" s="18" t="str">
        <f t="shared" si="109"/>
        <v/>
      </c>
      <c r="M1362" s="18" t="str">
        <f>IF(J1362&lt;&gt;-1,"",ROUND(F1362*IFERROR(INDEX(Stocuri!$G$5:$G$204,MATCH(D1362,Coduri,0)),0),2))</f>
        <v/>
      </c>
      <c r="N1362" s="19" t="str">
        <f t="shared" si="110"/>
        <v/>
      </c>
    </row>
    <row r="1363" spans="2:14" x14ac:dyDescent="0.2">
      <c r="B1363" s="15"/>
      <c r="C1363" s="6"/>
      <c r="D1363" s="12"/>
      <c r="E1363" s="10" t="str">
        <f t="shared" si="106"/>
        <v/>
      </c>
      <c r="F1363" s="16"/>
      <c r="G1363" s="13"/>
      <c r="H1363" s="6"/>
      <c r="I1363" s="6"/>
      <c r="J1363" s="11" t="str">
        <f t="shared" si="107"/>
        <v/>
      </c>
      <c r="K1363" s="17" t="str">
        <f t="shared" si="108"/>
        <v/>
      </c>
      <c r="L1363" s="18" t="str">
        <f t="shared" si="109"/>
        <v/>
      </c>
      <c r="M1363" s="18" t="str">
        <f>IF(J1363&lt;&gt;-1,"",ROUND(F1363*IFERROR(INDEX(Stocuri!$G$5:$G$204,MATCH(D1363,Coduri,0)),0),2))</f>
        <v/>
      </c>
      <c r="N1363" s="19" t="str">
        <f t="shared" si="110"/>
        <v/>
      </c>
    </row>
    <row r="1364" spans="2:14" x14ac:dyDescent="0.2">
      <c r="B1364" s="15"/>
      <c r="C1364" s="6"/>
      <c r="D1364" s="12"/>
      <c r="E1364" s="10" t="str">
        <f t="shared" si="106"/>
        <v/>
      </c>
      <c r="F1364" s="16"/>
      <c r="G1364" s="13"/>
      <c r="H1364" s="6"/>
      <c r="I1364" s="6"/>
      <c r="J1364" s="11" t="str">
        <f t="shared" si="107"/>
        <v/>
      </c>
      <c r="K1364" s="17" t="str">
        <f t="shared" si="108"/>
        <v/>
      </c>
      <c r="L1364" s="18" t="str">
        <f t="shared" si="109"/>
        <v/>
      </c>
      <c r="M1364" s="18" t="str">
        <f>IF(J1364&lt;&gt;-1,"",ROUND(F1364*IFERROR(INDEX(Stocuri!$G$5:$G$204,MATCH(D1364,Coduri,0)),0),2))</f>
        <v/>
      </c>
      <c r="N1364" s="19" t="str">
        <f t="shared" si="110"/>
        <v/>
      </c>
    </row>
    <row r="1365" spans="2:14" x14ac:dyDescent="0.2">
      <c r="B1365" s="15"/>
      <c r="C1365" s="6"/>
      <c r="D1365" s="12"/>
      <c r="E1365" s="10" t="str">
        <f t="shared" si="106"/>
        <v/>
      </c>
      <c r="F1365" s="16"/>
      <c r="G1365" s="13"/>
      <c r="H1365" s="6"/>
      <c r="I1365" s="6"/>
      <c r="J1365" s="11" t="str">
        <f t="shared" si="107"/>
        <v/>
      </c>
      <c r="K1365" s="17" t="str">
        <f t="shared" si="108"/>
        <v/>
      </c>
      <c r="L1365" s="18" t="str">
        <f t="shared" si="109"/>
        <v/>
      </c>
      <c r="M1365" s="18" t="str">
        <f>IF(J1365&lt;&gt;-1,"",ROUND(F1365*IFERROR(INDEX(Stocuri!$G$5:$G$204,MATCH(D1365,Coduri,0)),0),2))</f>
        <v/>
      </c>
      <c r="N1365" s="19" t="str">
        <f t="shared" si="110"/>
        <v/>
      </c>
    </row>
    <row r="1366" spans="2:14" x14ac:dyDescent="0.2">
      <c r="B1366" s="15"/>
      <c r="C1366" s="6"/>
      <c r="D1366" s="12"/>
      <c r="E1366" s="10" t="str">
        <f t="shared" si="106"/>
        <v/>
      </c>
      <c r="F1366" s="16"/>
      <c r="G1366" s="13"/>
      <c r="H1366" s="6"/>
      <c r="I1366" s="6"/>
      <c r="J1366" s="11" t="str">
        <f t="shared" si="107"/>
        <v/>
      </c>
      <c r="K1366" s="17" t="str">
        <f t="shared" si="108"/>
        <v/>
      </c>
      <c r="L1366" s="18" t="str">
        <f t="shared" si="109"/>
        <v/>
      </c>
      <c r="M1366" s="18" t="str">
        <f>IF(J1366&lt;&gt;-1,"",ROUND(F1366*IFERROR(INDEX(Stocuri!$G$5:$G$204,MATCH(D1366,Coduri,0)),0),2))</f>
        <v/>
      </c>
      <c r="N1366" s="19" t="str">
        <f t="shared" si="110"/>
        <v/>
      </c>
    </row>
    <row r="1367" spans="2:14" x14ac:dyDescent="0.2">
      <c r="B1367" s="15"/>
      <c r="C1367" s="6"/>
      <c r="D1367" s="12"/>
      <c r="E1367" s="10" t="str">
        <f t="shared" si="106"/>
        <v/>
      </c>
      <c r="F1367" s="16"/>
      <c r="G1367" s="13"/>
      <c r="H1367" s="6"/>
      <c r="I1367" s="6"/>
      <c r="J1367" s="11" t="str">
        <f t="shared" si="107"/>
        <v/>
      </c>
      <c r="K1367" s="17" t="str">
        <f t="shared" si="108"/>
        <v/>
      </c>
      <c r="L1367" s="18" t="str">
        <f t="shared" si="109"/>
        <v/>
      </c>
      <c r="M1367" s="18" t="str">
        <f>IF(J1367&lt;&gt;-1,"",ROUND(F1367*IFERROR(INDEX(Stocuri!$G$5:$G$204,MATCH(D1367,Coduri,0)),0),2))</f>
        <v/>
      </c>
      <c r="N1367" s="19" t="str">
        <f t="shared" si="110"/>
        <v/>
      </c>
    </row>
    <row r="1368" spans="2:14" x14ac:dyDescent="0.2">
      <c r="B1368" s="15"/>
      <c r="C1368" s="6"/>
      <c r="D1368" s="12"/>
      <c r="E1368" s="10" t="str">
        <f t="shared" si="106"/>
        <v/>
      </c>
      <c r="F1368" s="16"/>
      <c r="G1368" s="13"/>
      <c r="H1368" s="6"/>
      <c r="I1368" s="6"/>
      <c r="J1368" s="11" t="str">
        <f t="shared" si="107"/>
        <v/>
      </c>
      <c r="K1368" s="17" t="str">
        <f t="shared" si="108"/>
        <v/>
      </c>
      <c r="L1368" s="18" t="str">
        <f t="shared" si="109"/>
        <v/>
      </c>
      <c r="M1368" s="18" t="str">
        <f>IF(J1368&lt;&gt;-1,"",ROUND(F1368*IFERROR(INDEX(Stocuri!$G$5:$G$204,MATCH(D1368,Coduri,0)),0),2))</f>
        <v/>
      </c>
      <c r="N1368" s="19" t="str">
        <f t="shared" si="110"/>
        <v/>
      </c>
    </row>
    <row r="1369" spans="2:14" x14ac:dyDescent="0.2">
      <c r="B1369" s="15"/>
      <c r="C1369" s="6"/>
      <c r="D1369" s="12"/>
      <c r="E1369" s="10" t="str">
        <f t="shared" si="106"/>
        <v/>
      </c>
      <c r="F1369" s="16"/>
      <c r="G1369" s="13"/>
      <c r="H1369" s="6"/>
      <c r="I1369" s="6"/>
      <c r="J1369" s="11" t="str">
        <f t="shared" si="107"/>
        <v/>
      </c>
      <c r="K1369" s="17" t="str">
        <f t="shared" si="108"/>
        <v/>
      </c>
      <c r="L1369" s="18" t="str">
        <f t="shared" si="109"/>
        <v/>
      </c>
      <c r="M1369" s="18" t="str">
        <f>IF(J1369&lt;&gt;-1,"",ROUND(F1369*IFERROR(INDEX(Stocuri!$G$5:$G$204,MATCH(D1369,Coduri,0)),0),2))</f>
        <v/>
      </c>
      <c r="N1369" s="19" t="str">
        <f t="shared" si="110"/>
        <v/>
      </c>
    </row>
    <row r="1370" spans="2:14" x14ac:dyDescent="0.2">
      <c r="B1370" s="15"/>
      <c r="C1370" s="6"/>
      <c r="D1370" s="12"/>
      <c r="E1370" s="10" t="str">
        <f t="shared" si="106"/>
        <v/>
      </c>
      <c r="F1370" s="16"/>
      <c r="G1370" s="13"/>
      <c r="H1370" s="6"/>
      <c r="I1370" s="6"/>
      <c r="J1370" s="11" t="str">
        <f t="shared" si="107"/>
        <v/>
      </c>
      <c r="K1370" s="17" t="str">
        <f t="shared" si="108"/>
        <v/>
      </c>
      <c r="L1370" s="18" t="str">
        <f t="shared" si="109"/>
        <v/>
      </c>
      <c r="M1370" s="18" t="str">
        <f>IF(J1370&lt;&gt;-1,"",ROUND(F1370*IFERROR(INDEX(Stocuri!$G$5:$G$204,MATCH(D1370,Coduri,0)),0),2))</f>
        <v/>
      </c>
      <c r="N1370" s="19" t="str">
        <f t="shared" si="110"/>
        <v/>
      </c>
    </row>
    <row r="1371" spans="2:14" x14ac:dyDescent="0.2">
      <c r="B1371" s="15"/>
      <c r="C1371" s="6"/>
      <c r="D1371" s="12"/>
      <c r="E1371" s="10" t="str">
        <f t="shared" si="106"/>
        <v/>
      </c>
      <c r="F1371" s="16"/>
      <c r="G1371" s="13"/>
      <c r="H1371" s="6"/>
      <c r="I1371" s="6"/>
      <c r="J1371" s="11" t="str">
        <f t="shared" si="107"/>
        <v/>
      </c>
      <c r="K1371" s="17" t="str">
        <f t="shared" si="108"/>
        <v/>
      </c>
      <c r="L1371" s="18" t="str">
        <f t="shared" si="109"/>
        <v/>
      </c>
      <c r="M1371" s="18" t="str">
        <f>IF(J1371&lt;&gt;-1,"",ROUND(F1371*IFERROR(INDEX(Stocuri!$G$5:$G$204,MATCH(D1371,Coduri,0)),0),2))</f>
        <v/>
      </c>
      <c r="N1371" s="19" t="str">
        <f t="shared" si="110"/>
        <v/>
      </c>
    </row>
    <row r="1372" spans="2:14" x14ac:dyDescent="0.2">
      <c r="B1372" s="15"/>
      <c r="C1372" s="6"/>
      <c r="D1372" s="12"/>
      <c r="E1372" s="10" t="str">
        <f t="shared" si="106"/>
        <v/>
      </c>
      <c r="F1372" s="16"/>
      <c r="G1372" s="13"/>
      <c r="H1372" s="6"/>
      <c r="I1372" s="6"/>
      <c r="J1372" s="11" t="str">
        <f t="shared" si="107"/>
        <v/>
      </c>
      <c r="K1372" s="17" t="str">
        <f t="shared" si="108"/>
        <v/>
      </c>
      <c r="L1372" s="18" t="str">
        <f t="shared" si="109"/>
        <v/>
      </c>
      <c r="M1372" s="18" t="str">
        <f>IF(J1372&lt;&gt;-1,"",ROUND(F1372*IFERROR(INDEX(Stocuri!$G$5:$G$204,MATCH(D1372,Coduri,0)),0),2))</f>
        <v/>
      </c>
      <c r="N1372" s="19" t="str">
        <f t="shared" si="110"/>
        <v/>
      </c>
    </row>
    <row r="1373" spans="2:14" x14ac:dyDescent="0.2">
      <c r="B1373" s="15"/>
      <c r="C1373" s="6"/>
      <c r="D1373" s="12"/>
      <c r="E1373" s="10" t="str">
        <f t="shared" si="106"/>
        <v/>
      </c>
      <c r="F1373" s="16"/>
      <c r="G1373" s="13"/>
      <c r="H1373" s="6"/>
      <c r="I1373" s="6"/>
      <c r="J1373" s="11" t="str">
        <f t="shared" si="107"/>
        <v/>
      </c>
      <c r="K1373" s="17" t="str">
        <f t="shared" si="108"/>
        <v/>
      </c>
      <c r="L1373" s="18" t="str">
        <f t="shared" si="109"/>
        <v/>
      </c>
      <c r="M1373" s="18" t="str">
        <f>IF(J1373&lt;&gt;-1,"",ROUND(F1373*IFERROR(INDEX(Stocuri!$G$5:$G$204,MATCH(D1373,Coduri,0)),0),2))</f>
        <v/>
      </c>
      <c r="N1373" s="19" t="str">
        <f t="shared" si="110"/>
        <v/>
      </c>
    </row>
    <row r="1374" spans="2:14" x14ac:dyDescent="0.2">
      <c r="B1374" s="15"/>
      <c r="C1374" s="6"/>
      <c r="D1374" s="12"/>
      <c r="E1374" s="10" t="str">
        <f t="shared" si="106"/>
        <v/>
      </c>
      <c r="F1374" s="16"/>
      <c r="G1374" s="13"/>
      <c r="H1374" s="6"/>
      <c r="I1374" s="6"/>
      <c r="J1374" s="11" t="str">
        <f t="shared" si="107"/>
        <v/>
      </c>
      <c r="K1374" s="17" t="str">
        <f t="shared" si="108"/>
        <v/>
      </c>
      <c r="L1374" s="18" t="str">
        <f t="shared" si="109"/>
        <v/>
      </c>
      <c r="M1374" s="18" t="str">
        <f>IF(J1374&lt;&gt;-1,"",ROUND(F1374*IFERROR(INDEX(Stocuri!$G$5:$G$204,MATCH(D1374,Coduri,0)),0),2))</f>
        <v/>
      </c>
      <c r="N1374" s="19" t="str">
        <f t="shared" si="110"/>
        <v/>
      </c>
    </row>
    <row r="1375" spans="2:14" x14ac:dyDescent="0.2">
      <c r="B1375" s="15"/>
      <c r="C1375" s="6"/>
      <c r="D1375" s="12"/>
      <c r="E1375" s="10" t="str">
        <f t="shared" si="106"/>
        <v/>
      </c>
      <c r="F1375" s="16"/>
      <c r="G1375" s="13"/>
      <c r="H1375" s="6"/>
      <c r="I1375" s="6"/>
      <c r="J1375" s="11" t="str">
        <f t="shared" si="107"/>
        <v/>
      </c>
      <c r="K1375" s="17" t="str">
        <f t="shared" si="108"/>
        <v/>
      </c>
      <c r="L1375" s="18" t="str">
        <f t="shared" si="109"/>
        <v/>
      </c>
      <c r="M1375" s="18" t="str">
        <f>IF(J1375&lt;&gt;-1,"",ROUND(F1375*IFERROR(INDEX(Stocuri!$G$5:$G$204,MATCH(D1375,Coduri,0)),0),2))</f>
        <v/>
      </c>
      <c r="N1375" s="19" t="str">
        <f t="shared" si="110"/>
        <v/>
      </c>
    </row>
    <row r="1376" spans="2:14" x14ac:dyDescent="0.2">
      <c r="B1376" s="15"/>
      <c r="C1376" s="6"/>
      <c r="D1376" s="12"/>
      <c r="E1376" s="10" t="str">
        <f t="shared" si="106"/>
        <v/>
      </c>
      <c r="F1376" s="16"/>
      <c r="G1376" s="13"/>
      <c r="H1376" s="6"/>
      <c r="I1376" s="6"/>
      <c r="J1376" s="11" t="str">
        <f t="shared" si="107"/>
        <v/>
      </c>
      <c r="K1376" s="17" t="str">
        <f t="shared" si="108"/>
        <v/>
      </c>
      <c r="L1376" s="18" t="str">
        <f t="shared" si="109"/>
        <v/>
      </c>
      <c r="M1376" s="18" t="str">
        <f>IF(J1376&lt;&gt;-1,"",ROUND(F1376*IFERROR(INDEX(Stocuri!$G$5:$G$204,MATCH(D1376,Coduri,0)),0),2))</f>
        <v/>
      </c>
      <c r="N1376" s="19" t="str">
        <f t="shared" si="110"/>
        <v/>
      </c>
    </row>
    <row r="1377" spans="2:14" x14ac:dyDescent="0.2">
      <c r="B1377" s="15"/>
      <c r="C1377" s="6"/>
      <c r="D1377" s="12"/>
      <c r="E1377" s="10" t="str">
        <f t="shared" si="106"/>
        <v/>
      </c>
      <c r="F1377" s="16"/>
      <c r="G1377" s="13"/>
      <c r="H1377" s="6"/>
      <c r="I1377" s="6"/>
      <c r="J1377" s="11" t="str">
        <f t="shared" si="107"/>
        <v/>
      </c>
      <c r="K1377" s="17" t="str">
        <f t="shared" si="108"/>
        <v/>
      </c>
      <c r="L1377" s="18" t="str">
        <f t="shared" si="109"/>
        <v/>
      </c>
      <c r="M1377" s="18" t="str">
        <f>IF(J1377&lt;&gt;-1,"",ROUND(F1377*IFERROR(INDEX(Stocuri!$G$5:$G$204,MATCH(D1377,Coduri,0)),0),2))</f>
        <v/>
      </c>
      <c r="N1377" s="19" t="str">
        <f t="shared" si="110"/>
        <v/>
      </c>
    </row>
    <row r="1378" spans="2:14" x14ac:dyDescent="0.2">
      <c r="B1378" s="15"/>
      <c r="C1378" s="6"/>
      <c r="D1378" s="12"/>
      <c r="E1378" s="10" t="str">
        <f t="shared" si="106"/>
        <v/>
      </c>
      <c r="F1378" s="16"/>
      <c r="G1378" s="13"/>
      <c r="H1378" s="6"/>
      <c r="I1378" s="6"/>
      <c r="J1378" s="11" t="str">
        <f t="shared" si="107"/>
        <v/>
      </c>
      <c r="K1378" s="17" t="str">
        <f t="shared" si="108"/>
        <v/>
      </c>
      <c r="L1378" s="18" t="str">
        <f t="shared" si="109"/>
        <v/>
      </c>
      <c r="M1378" s="18" t="str">
        <f>IF(J1378&lt;&gt;-1,"",ROUND(F1378*IFERROR(INDEX(Stocuri!$G$5:$G$204,MATCH(D1378,Coduri,0)),0),2))</f>
        <v/>
      </c>
      <c r="N1378" s="19" t="str">
        <f t="shared" si="110"/>
        <v/>
      </c>
    </row>
    <row r="1379" spans="2:14" x14ac:dyDescent="0.2">
      <c r="B1379" s="15"/>
      <c r="C1379" s="6"/>
      <c r="D1379" s="12"/>
      <c r="E1379" s="10" t="str">
        <f t="shared" si="106"/>
        <v/>
      </c>
      <c r="F1379" s="16"/>
      <c r="G1379" s="13"/>
      <c r="H1379" s="6"/>
      <c r="I1379" s="6"/>
      <c r="J1379" s="11" t="str">
        <f t="shared" si="107"/>
        <v/>
      </c>
      <c r="K1379" s="17" t="str">
        <f t="shared" si="108"/>
        <v/>
      </c>
      <c r="L1379" s="18" t="str">
        <f t="shared" si="109"/>
        <v/>
      </c>
      <c r="M1379" s="18" t="str">
        <f>IF(J1379&lt;&gt;-1,"",ROUND(F1379*IFERROR(INDEX(Stocuri!$G$5:$G$204,MATCH(D1379,Coduri,0)),0),2))</f>
        <v/>
      </c>
      <c r="N1379" s="19" t="str">
        <f t="shared" si="110"/>
        <v/>
      </c>
    </row>
    <row r="1380" spans="2:14" x14ac:dyDescent="0.2">
      <c r="B1380" s="15"/>
      <c r="C1380" s="6"/>
      <c r="D1380" s="12"/>
      <c r="E1380" s="10" t="str">
        <f t="shared" si="106"/>
        <v/>
      </c>
      <c r="F1380" s="16"/>
      <c r="G1380" s="13"/>
      <c r="H1380" s="6"/>
      <c r="I1380" s="6"/>
      <c r="J1380" s="11" t="str">
        <f t="shared" si="107"/>
        <v/>
      </c>
      <c r="K1380" s="17" t="str">
        <f t="shared" si="108"/>
        <v/>
      </c>
      <c r="L1380" s="18" t="str">
        <f t="shared" si="109"/>
        <v/>
      </c>
      <c r="M1380" s="18" t="str">
        <f>IF(J1380&lt;&gt;-1,"",ROUND(F1380*IFERROR(INDEX(Stocuri!$G$5:$G$204,MATCH(D1380,Coduri,0)),0),2))</f>
        <v/>
      </c>
      <c r="N1380" s="19" t="str">
        <f t="shared" si="110"/>
        <v/>
      </c>
    </row>
    <row r="1381" spans="2:14" x14ac:dyDescent="0.2">
      <c r="B1381" s="15"/>
      <c r="C1381" s="6"/>
      <c r="D1381" s="12"/>
      <c r="E1381" s="10" t="str">
        <f t="shared" si="106"/>
        <v/>
      </c>
      <c r="F1381" s="16"/>
      <c r="G1381" s="13"/>
      <c r="H1381" s="6"/>
      <c r="I1381" s="6"/>
      <c r="J1381" s="11" t="str">
        <f t="shared" si="107"/>
        <v/>
      </c>
      <c r="K1381" s="17" t="str">
        <f t="shared" si="108"/>
        <v/>
      </c>
      <c r="L1381" s="18" t="str">
        <f t="shared" si="109"/>
        <v/>
      </c>
      <c r="M1381" s="18" t="str">
        <f>IF(J1381&lt;&gt;-1,"",ROUND(F1381*IFERROR(INDEX(Stocuri!$G$5:$G$204,MATCH(D1381,Coduri,0)),0),2))</f>
        <v/>
      </c>
      <c r="N1381" s="19" t="str">
        <f t="shared" si="110"/>
        <v/>
      </c>
    </row>
    <row r="1382" spans="2:14" x14ac:dyDescent="0.2">
      <c r="B1382" s="15"/>
      <c r="C1382" s="6"/>
      <c r="D1382" s="12"/>
      <c r="E1382" s="10" t="str">
        <f t="shared" si="106"/>
        <v/>
      </c>
      <c r="F1382" s="16"/>
      <c r="G1382" s="13"/>
      <c r="H1382" s="6"/>
      <c r="I1382" s="6"/>
      <c r="J1382" s="11" t="str">
        <f t="shared" si="107"/>
        <v/>
      </c>
      <c r="K1382" s="17" t="str">
        <f t="shared" si="108"/>
        <v/>
      </c>
      <c r="L1382" s="18" t="str">
        <f t="shared" si="109"/>
        <v/>
      </c>
      <c r="M1382" s="18" t="str">
        <f>IF(J1382&lt;&gt;-1,"",ROUND(F1382*IFERROR(INDEX(Stocuri!$G$5:$G$204,MATCH(D1382,Coduri,0)),0),2))</f>
        <v/>
      </c>
      <c r="N1382" s="19" t="str">
        <f t="shared" si="110"/>
        <v/>
      </c>
    </row>
    <row r="1383" spans="2:14" x14ac:dyDescent="0.2">
      <c r="B1383" s="15"/>
      <c r="C1383" s="6"/>
      <c r="D1383" s="12"/>
      <c r="E1383" s="10" t="str">
        <f t="shared" si="106"/>
        <v/>
      </c>
      <c r="F1383" s="16"/>
      <c r="G1383" s="13"/>
      <c r="H1383" s="6"/>
      <c r="I1383" s="6"/>
      <c r="J1383" s="11" t="str">
        <f t="shared" si="107"/>
        <v/>
      </c>
      <c r="K1383" s="17" t="str">
        <f t="shared" si="108"/>
        <v/>
      </c>
      <c r="L1383" s="18" t="str">
        <f t="shared" si="109"/>
        <v/>
      </c>
      <c r="M1383" s="18" t="str">
        <f>IF(J1383&lt;&gt;-1,"",ROUND(F1383*IFERROR(INDEX(Stocuri!$G$5:$G$204,MATCH(D1383,Coduri,0)),0),2))</f>
        <v/>
      </c>
      <c r="N1383" s="19" t="str">
        <f t="shared" si="110"/>
        <v/>
      </c>
    </row>
    <row r="1384" spans="2:14" x14ac:dyDescent="0.2">
      <c r="B1384" s="15"/>
      <c r="C1384" s="6"/>
      <c r="D1384" s="12"/>
      <c r="E1384" s="10" t="str">
        <f t="shared" si="106"/>
        <v/>
      </c>
      <c r="F1384" s="16"/>
      <c r="G1384" s="13"/>
      <c r="H1384" s="6"/>
      <c r="I1384" s="6"/>
      <c r="J1384" s="11" t="str">
        <f t="shared" si="107"/>
        <v/>
      </c>
      <c r="K1384" s="17" t="str">
        <f t="shared" si="108"/>
        <v/>
      </c>
      <c r="L1384" s="18" t="str">
        <f t="shared" si="109"/>
        <v/>
      </c>
      <c r="M1384" s="18" t="str">
        <f>IF(J1384&lt;&gt;-1,"",ROUND(F1384*IFERROR(INDEX(Stocuri!$G$5:$G$204,MATCH(D1384,Coduri,0)),0),2))</f>
        <v/>
      </c>
      <c r="N1384" s="19" t="str">
        <f t="shared" si="110"/>
        <v/>
      </c>
    </row>
    <row r="1385" spans="2:14" x14ac:dyDescent="0.2">
      <c r="B1385" s="15"/>
      <c r="C1385" s="6"/>
      <c r="D1385" s="12"/>
      <c r="E1385" s="10" t="str">
        <f t="shared" si="106"/>
        <v/>
      </c>
      <c r="F1385" s="16"/>
      <c r="G1385" s="13"/>
      <c r="H1385" s="6"/>
      <c r="I1385" s="6"/>
      <c r="J1385" s="11" t="str">
        <f t="shared" si="107"/>
        <v/>
      </c>
      <c r="K1385" s="17" t="str">
        <f t="shared" si="108"/>
        <v/>
      </c>
      <c r="L1385" s="18" t="str">
        <f t="shared" si="109"/>
        <v/>
      </c>
      <c r="M1385" s="18" t="str">
        <f>IF(J1385&lt;&gt;-1,"",ROUND(F1385*IFERROR(INDEX(Stocuri!$G$5:$G$204,MATCH(D1385,Coduri,0)),0),2))</f>
        <v/>
      </c>
      <c r="N1385" s="19" t="str">
        <f t="shared" si="110"/>
        <v/>
      </c>
    </row>
    <row r="1386" spans="2:14" x14ac:dyDescent="0.2">
      <c r="B1386" s="15"/>
      <c r="C1386" s="6"/>
      <c r="D1386" s="12"/>
      <c r="E1386" s="10" t="str">
        <f t="shared" si="106"/>
        <v/>
      </c>
      <c r="F1386" s="16"/>
      <c r="G1386" s="13"/>
      <c r="H1386" s="6"/>
      <c r="I1386" s="6"/>
      <c r="J1386" s="11" t="str">
        <f t="shared" si="107"/>
        <v/>
      </c>
      <c r="K1386" s="17" t="str">
        <f t="shared" si="108"/>
        <v/>
      </c>
      <c r="L1386" s="18" t="str">
        <f t="shared" si="109"/>
        <v/>
      </c>
      <c r="M1386" s="18" t="str">
        <f>IF(J1386&lt;&gt;-1,"",ROUND(F1386*IFERROR(INDEX(Stocuri!$G$5:$G$204,MATCH(D1386,Coduri,0)),0),2))</f>
        <v/>
      </c>
      <c r="N1386" s="19" t="str">
        <f t="shared" si="110"/>
        <v/>
      </c>
    </row>
    <row r="1387" spans="2:14" x14ac:dyDescent="0.2">
      <c r="B1387" s="15"/>
      <c r="C1387" s="6"/>
      <c r="D1387" s="12"/>
      <c r="E1387" s="10" t="str">
        <f t="shared" si="106"/>
        <v/>
      </c>
      <c r="F1387" s="16"/>
      <c r="G1387" s="13"/>
      <c r="H1387" s="6"/>
      <c r="I1387" s="6"/>
      <c r="J1387" s="11" t="str">
        <f t="shared" si="107"/>
        <v/>
      </c>
      <c r="K1387" s="17" t="str">
        <f t="shared" si="108"/>
        <v/>
      </c>
      <c r="L1387" s="18" t="str">
        <f t="shared" si="109"/>
        <v/>
      </c>
      <c r="M1387" s="18" t="str">
        <f>IF(J1387&lt;&gt;-1,"",ROUND(F1387*IFERROR(INDEX(Stocuri!$G$5:$G$204,MATCH(D1387,Coduri,0)),0),2))</f>
        <v/>
      </c>
      <c r="N1387" s="19" t="str">
        <f t="shared" si="110"/>
        <v/>
      </c>
    </row>
    <row r="1388" spans="2:14" x14ac:dyDescent="0.2">
      <c r="B1388" s="15"/>
      <c r="C1388" s="6"/>
      <c r="D1388" s="12"/>
      <c r="E1388" s="10" t="str">
        <f t="shared" si="106"/>
        <v/>
      </c>
      <c r="F1388" s="16"/>
      <c r="G1388" s="13"/>
      <c r="H1388" s="6"/>
      <c r="I1388" s="6"/>
      <c r="J1388" s="11" t="str">
        <f t="shared" si="107"/>
        <v/>
      </c>
      <c r="K1388" s="17" t="str">
        <f t="shared" si="108"/>
        <v/>
      </c>
      <c r="L1388" s="18" t="str">
        <f t="shared" si="109"/>
        <v/>
      </c>
      <c r="M1388" s="18" t="str">
        <f>IF(J1388&lt;&gt;-1,"",ROUND(F1388*IFERROR(INDEX(Stocuri!$G$5:$G$204,MATCH(D1388,Coduri,0)),0),2))</f>
        <v/>
      </c>
      <c r="N1388" s="19" t="str">
        <f t="shared" si="110"/>
        <v/>
      </c>
    </row>
    <row r="1389" spans="2:14" x14ac:dyDescent="0.2">
      <c r="B1389" s="15"/>
      <c r="C1389" s="6"/>
      <c r="D1389" s="12"/>
      <c r="E1389" s="10" t="str">
        <f t="shared" si="106"/>
        <v/>
      </c>
      <c r="F1389" s="16"/>
      <c r="G1389" s="13"/>
      <c r="H1389" s="6"/>
      <c r="I1389" s="6"/>
      <c r="J1389" s="11" t="str">
        <f t="shared" si="107"/>
        <v/>
      </c>
      <c r="K1389" s="17" t="str">
        <f t="shared" si="108"/>
        <v/>
      </c>
      <c r="L1389" s="18" t="str">
        <f t="shared" si="109"/>
        <v/>
      </c>
      <c r="M1389" s="18" t="str">
        <f>IF(J1389&lt;&gt;-1,"",ROUND(F1389*IFERROR(INDEX(Stocuri!$G$5:$G$204,MATCH(D1389,Coduri,0)),0),2))</f>
        <v/>
      </c>
      <c r="N1389" s="19" t="str">
        <f t="shared" si="110"/>
        <v/>
      </c>
    </row>
    <row r="1390" spans="2:14" x14ac:dyDescent="0.2">
      <c r="B1390" s="15"/>
      <c r="C1390" s="6"/>
      <c r="D1390" s="12"/>
      <c r="E1390" s="10" t="str">
        <f t="shared" si="106"/>
        <v/>
      </c>
      <c r="F1390" s="16"/>
      <c r="G1390" s="13"/>
      <c r="H1390" s="6"/>
      <c r="I1390" s="6"/>
      <c r="J1390" s="11" t="str">
        <f t="shared" si="107"/>
        <v/>
      </c>
      <c r="K1390" s="17" t="str">
        <f t="shared" si="108"/>
        <v/>
      </c>
      <c r="L1390" s="18" t="str">
        <f t="shared" si="109"/>
        <v/>
      </c>
      <c r="M1390" s="18" t="str">
        <f>IF(J1390&lt;&gt;-1,"",ROUND(F1390*IFERROR(INDEX(Stocuri!$G$5:$G$204,MATCH(D1390,Coduri,0)),0),2))</f>
        <v/>
      </c>
      <c r="N1390" s="19" t="str">
        <f t="shared" si="110"/>
        <v/>
      </c>
    </row>
    <row r="1391" spans="2:14" x14ac:dyDescent="0.2">
      <c r="B1391" s="15"/>
      <c r="C1391" s="6"/>
      <c r="D1391" s="12"/>
      <c r="E1391" s="10" t="str">
        <f t="shared" si="106"/>
        <v/>
      </c>
      <c r="F1391" s="16"/>
      <c r="G1391" s="13"/>
      <c r="H1391" s="6"/>
      <c r="I1391" s="6"/>
      <c r="J1391" s="11" t="str">
        <f t="shared" si="107"/>
        <v/>
      </c>
      <c r="K1391" s="17" t="str">
        <f t="shared" si="108"/>
        <v/>
      </c>
      <c r="L1391" s="18" t="str">
        <f t="shared" si="109"/>
        <v/>
      </c>
      <c r="M1391" s="18" t="str">
        <f>IF(J1391&lt;&gt;-1,"",ROUND(F1391*IFERROR(INDEX(Stocuri!$G$5:$G$204,MATCH(D1391,Coduri,0)),0),2))</f>
        <v/>
      </c>
      <c r="N1391" s="19" t="str">
        <f t="shared" si="110"/>
        <v/>
      </c>
    </row>
    <row r="1392" spans="2:14" x14ac:dyDescent="0.2">
      <c r="B1392" s="15"/>
      <c r="C1392" s="6"/>
      <c r="D1392" s="12"/>
      <c r="E1392" s="10" t="str">
        <f t="shared" si="106"/>
        <v/>
      </c>
      <c r="F1392" s="16"/>
      <c r="G1392" s="13"/>
      <c r="H1392" s="6"/>
      <c r="I1392" s="6"/>
      <c r="J1392" s="11" t="str">
        <f t="shared" si="107"/>
        <v/>
      </c>
      <c r="K1392" s="17" t="str">
        <f t="shared" si="108"/>
        <v/>
      </c>
      <c r="L1392" s="18" t="str">
        <f t="shared" si="109"/>
        <v/>
      </c>
      <c r="M1392" s="18" t="str">
        <f>IF(J1392&lt;&gt;-1,"",ROUND(F1392*IFERROR(INDEX(Stocuri!$G$5:$G$204,MATCH(D1392,Coduri,0)),0),2))</f>
        <v/>
      </c>
      <c r="N1392" s="19" t="str">
        <f t="shared" si="110"/>
        <v/>
      </c>
    </row>
    <row r="1393" spans="2:14" x14ac:dyDescent="0.2">
      <c r="B1393" s="15"/>
      <c r="C1393" s="6"/>
      <c r="D1393" s="12"/>
      <c r="E1393" s="10" t="str">
        <f t="shared" si="106"/>
        <v/>
      </c>
      <c r="F1393" s="16"/>
      <c r="G1393" s="13"/>
      <c r="H1393" s="6"/>
      <c r="I1393" s="6"/>
      <c r="J1393" s="11" t="str">
        <f t="shared" si="107"/>
        <v/>
      </c>
      <c r="K1393" s="17" t="str">
        <f t="shared" si="108"/>
        <v/>
      </c>
      <c r="L1393" s="18" t="str">
        <f t="shared" si="109"/>
        <v/>
      </c>
      <c r="M1393" s="18" t="str">
        <f>IF(J1393&lt;&gt;-1,"",ROUND(F1393*IFERROR(INDEX(Stocuri!$G$5:$G$204,MATCH(D1393,Coduri,0)),0),2))</f>
        <v/>
      </c>
      <c r="N1393" s="19" t="str">
        <f t="shared" si="110"/>
        <v/>
      </c>
    </row>
    <row r="1394" spans="2:14" x14ac:dyDescent="0.2">
      <c r="B1394" s="15"/>
      <c r="C1394" s="6"/>
      <c r="D1394" s="12"/>
      <c r="E1394" s="10" t="str">
        <f t="shared" si="106"/>
        <v/>
      </c>
      <c r="F1394" s="16"/>
      <c r="G1394" s="13"/>
      <c r="H1394" s="6"/>
      <c r="I1394" s="6"/>
      <c r="J1394" s="11" t="str">
        <f t="shared" si="107"/>
        <v/>
      </c>
      <c r="K1394" s="17" t="str">
        <f t="shared" si="108"/>
        <v/>
      </c>
      <c r="L1394" s="18" t="str">
        <f t="shared" si="109"/>
        <v/>
      </c>
      <c r="M1394" s="18" t="str">
        <f>IF(J1394&lt;&gt;-1,"",ROUND(F1394*IFERROR(INDEX(Stocuri!$G$5:$G$204,MATCH(D1394,Coduri,0)),0),2))</f>
        <v/>
      </c>
      <c r="N1394" s="19" t="str">
        <f t="shared" si="110"/>
        <v/>
      </c>
    </row>
    <row r="1395" spans="2:14" x14ac:dyDescent="0.2">
      <c r="B1395" s="15"/>
      <c r="C1395" s="6"/>
      <c r="D1395" s="12"/>
      <c r="E1395" s="10" t="str">
        <f t="shared" si="106"/>
        <v/>
      </c>
      <c r="F1395" s="16"/>
      <c r="G1395" s="13"/>
      <c r="H1395" s="6"/>
      <c r="I1395" s="6"/>
      <c r="J1395" s="11" t="str">
        <f t="shared" si="107"/>
        <v/>
      </c>
      <c r="K1395" s="17" t="str">
        <f t="shared" si="108"/>
        <v/>
      </c>
      <c r="L1395" s="18" t="str">
        <f t="shared" si="109"/>
        <v/>
      </c>
      <c r="M1395" s="18" t="str">
        <f>IF(J1395&lt;&gt;-1,"",ROUND(F1395*IFERROR(INDEX(Stocuri!$G$5:$G$204,MATCH(D1395,Coduri,0)),0),2))</f>
        <v/>
      </c>
      <c r="N1395" s="19" t="str">
        <f t="shared" si="110"/>
        <v/>
      </c>
    </row>
    <row r="1396" spans="2:14" x14ac:dyDescent="0.2">
      <c r="B1396" s="15"/>
      <c r="C1396" s="6"/>
      <c r="D1396" s="12"/>
      <c r="E1396" s="10" t="str">
        <f t="shared" si="106"/>
        <v/>
      </c>
      <c r="F1396" s="16"/>
      <c r="G1396" s="13"/>
      <c r="H1396" s="6"/>
      <c r="I1396" s="6"/>
      <c r="J1396" s="11" t="str">
        <f t="shared" si="107"/>
        <v/>
      </c>
      <c r="K1396" s="17" t="str">
        <f t="shared" si="108"/>
        <v/>
      </c>
      <c r="L1396" s="18" t="str">
        <f t="shared" si="109"/>
        <v/>
      </c>
      <c r="M1396" s="18" t="str">
        <f>IF(J1396&lt;&gt;-1,"",ROUND(F1396*IFERROR(INDEX(Stocuri!$G$5:$G$204,MATCH(D1396,Coduri,0)),0),2))</f>
        <v/>
      </c>
      <c r="N1396" s="19" t="str">
        <f t="shared" si="110"/>
        <v/>
      </c>
    </row>
    <row r="1397" spans="2:14" x14ac:dyDescent="0.2">
      <c r="B1397" s="15"/>
      <c r="C1397" s="6"/>
      <c r="D1397" s="12"/>
      <c r="E1397" s="10" t="str">
        <f t="shared" si="106"/>
        <v/>
      </c>
      <c r="F1397" s="16"/>
      <c r="G1397" s="13"/>
      <c r="H1397" s="6"/>
      <c r="I1397" s="6"/>
      <c r="J1397" s="11" t="str">
        <f t="shared" si="107"/>
        <v/>
      </c>
      <c r="K1397" s="17" t="str">
        <f t="shared" si="108"/>
        <v/>
      </c>
      <c r="L1397" s="18" t="str">
        <f t="shared" si="109"/>
        <v/>
      </c>
      <c r="M1397" s="18" t="str">
        <f>IF(J1397&lt;&gt;-1,"",ROUND(F1397*IFERROR(INDEX(Stocuri!$G$5:$G$204,MATCH(D1397,Coduri,0)),0),2))</f>
        <v/>
      </c>
      <c r="N1397" s="19" t="str">
        <f t="shared" si="110"/>
        <v/>
      </c>
    </row>
    <row r="1398" spans="2:14" x14ac:dyDescent="0.2">
      <c r="B1398" s="15"/>
      <c r="C1398" s="6"/>
      <c r="D1398" s="12"/>
      <c r="E1398" s="10" t="str">
        <f t="shared" si="106"/>
        <v/>
      </c>
      <c r="F1398" s="16"/>
      <c r="G1398" s="13"/>
      <c r="H1398" s="6"/>
      <c r="I1398" s="6"/>
      <c r="J1398" s="11" t="str">
        <f t="shared" si="107"/>
        <v/>
      </c>
      <c r="K1398" s="17" t="str">
        <f t="shared" si="108"/>
        <v/>
      </c>
      <c r="L1398" s="18" t="str">
        <f t="shared" si="109"/>
        <v/>
      </c>
      <c r="M1398" s="18" t="str">
        <f>IF(J1398&lt;&gt;-1,"",ROUND(F1398*IFERROR(INDEX(Stocuri!$G$5:$G$204,MATCH(D1398,Coduri,0)),0),2))</f>
        <v/>
      </c>
      <c r="N1398" s="19" t="str">
        <f t="shared" si="110"/>
        <v/>
      </c>
    </row>
    <row r="1399" spans="2:14" x14ac:dyDescent="0.2">
      <c r="B1399" s="15"/>
      <c r="C1399" s="6"/>
      <c r="D1399" s="12"/>
      <c r="E1399" s="10" t="str">
        <f t="shared" si="106"/>
        <v/>
      </c>
      <c r="F1399" s="16"/>
      <c r="G1399" s="13"/>
      <c r="H1399" s="6"/>
      <c r="I1399" s="6"/>
      <c r="J1399" s="11" t="str">
        <f t="shared" si="107"/>
        <v/>
      </c>
      <c r="K1399" s="17" t="str">
        <f t="shared" si="108"/>
        <v/>
      </c>
      <c r="L1399" s="18" t="str">
        <f t="shared" si="109"/>
        <v/>
      </c>
      <c r="M1399" s="18" t="str">
        <f>IF(J1399&lt;&gt;-1,"",ROUND(F1399*IFERROR(INDEX(Stocuri!$G$5:$G$204,MATCH(D1399,Coduri,0)),0),2))</f>
        <v/>
      </c>
      <c r="N1399" s="19" t="str">
        <f t="shared" si="110"/>
        <v/>
      </c>
    </row>
    <row r="1400" spans="2:14" x14ac:dyDescent="0.2">
      <c r="B1400" s="15"/>
      <c r="C1400" s="6"/>
      <c r="D1400" s="12"/>
      <c r="E1400" s="10" t="str">
        <f t="shared" si="106"/>
        <v/>
      </c>
      <c r="F1400" s="16"/>
      <c r="G1400" s="13"/>
      <c r="H1400" s="6"/>
      <c r="I1400" s="6"/>
      <c r="J1400" s="11" t="str">
        <f t="shared" si="107"/>
        <v/>
      </c>
      <c r="K1400" s="17" t="str">
        <f t="shared" si="108"/>
        <v/>
      </c>
      <c r="L1400" s="18" t="str">
        <f t="shared" si="109"/>
        <v/>
      </c>
      <c r="M1400" s="18" t="str">
        <f>IF(J1400&lt;&gt;-1,"",ROUND(F1400*IFERROR(INDEX(Stocuri!$G$5:$G$204,MATCH(D1400,Coduri,0)),0),2))</f>
        <v/>
      </c>
      <c r="N1400" s="19" t="str">
        <f t="shared" si="110"/>
        <v/>
      </c>
    </row>
    <row r="1401" spans="2:14" x14ac:dyDescent="0.2">
      <c r="B1401" s="15"/>
      <c r="C1401" s="6"/>
      <c r="D1401" s="12"/>
      <c r="E1401" s="10" t="str">
        <f t="shared" si="106"/>
        <v/>
      </c>
      <c r="F1401" s="16"/>
      <c r="G1401" s="13"/>
      <c r="H1401" s="6"/>
      <c r="I1401" s="6"/>
      <c r="J1401" s="11" t="str">
        <f t="shared" si="107"/>
        <v/>
      </c>
      <c r="K1401" s="17" t="str">
        <f t="shared" si="108"/>
        <v/>
      </c>
      <c r="L1401" s="18" t="str">
        <f t="shared" si="109"/>
        <v/>
      </c>
      <c r="M1401" s="18" t="str">
        <f>IF(J1401&lt;&gt;-1,"",ROUND(F1401*IFERROR(INDEX(Stocuri!$G$5:$G$204,MATCH(D1401,Coduri,0)),0),2))</f>
        <v/>
      </c>
      <c r="N1401" s="19" t="str">
        <f t="shared" si="110"/>
        <v/>
      </c>
    </row>
    <row r="1402" spans="2:14" x14ac:dyDescent="0.2">
      <c r="B1402" s="15"/>
      <c r="C1402" s="6"/>
      <c r="D1402" s="12"/>
      <c r="E1402" s="10" t="str">
        <f t="shared" si="106"/>
        <v/>
      </c>
      <c r="F1402" s="16"/>
      <c r="G1402" s="13"/>
      <c r="H1402" s="6"/>
      <c r="I1402" s="6"/>
      <c r="J1402" s="11" t="str">
        <f t="shared" si="107"/>
        <v/>
      </c>
      <c r="K1402" s="17" t="str">
        <f t="shared" si="108"/>
        <v/>
      </c>
      <c r="L1402" s="18" t="str">
        <f t="shared" si="109"/>
        <v/>
      </c>
      <c r="M1402" s="18" t="str">
        <f>IF(J1402&lt;&gt;-1,"",ROUND(F1402*IFERROR(INDEX(Stocuri!$G$5:$G$204,MATCH(D1402,Coduri,0)),0),2))</f>
        <v/>
      </c>
      <c r="N1402" s="19" t="str">
        <f t="shared" si="110"/>
        <v/>
      </c>
    </row>
    <row r="1403" spans="2:14" x14ac:dyDescent="0.2">
      <c r="B1403" s="15"/>
      <c r="C1403" s="6"/>
      <c r="D1403" s="12"/>
      <c r="E1403" s="10" t="str">
        <f t="shared" si="106"/>
        <v/>
      </c>
      <c r="F1403" s="16"/>
      <c r="G1403" s="13"/>
      <c r="H1403" s="6"/>
      <c r="I1403" s="6"/>
      <c r="J1403" s="11" t="str">
        <f t="shared" si="107"/>
        <v/>
      </c>
      <c r="K1403" s="17" t="str">
        <f t="shared" si="108"/>
        <v/>
      </c>
      <c r="L1403" s="18" t="str">
        <f t="shared" si="109"/>
        <v/>
      </c>
      <c r="M1403" s="18" t="str">
        <f>IF(J1403&lt;&gt;-1,"",ROUND(F1403*IFERROR(INDEX(Stocuri!$G$5:$G$204,MATCH(D1403,Coduri,0)),0),2))</f>
        <v/>
      </c>
      <c r="N1403" s="19" t="str">
        <f t="shared" si="110"/>
        <v/>
      </c>
    </row>
    <row r="1404" spans="2:14" x14ac:dyDescent="0.2">
      <c r="B1404" s="15"/>
      <c r="C1404" s="6"/>
      <c r="D1404" s="12"/>
      <c r="E1404" s="10" t="str">
        <f t="shared" si="106"/>
        <v/>
      </c>
      <c r="F1404" s="16"/>
      <c r="G1404" s="13"/>
      <c r="H1404" s="6"/>
      <c r="I1404" s="6"/>
      <c r="J1404" s="11" t="str">
        <f t="shared" si="107"/>
        <v/>
      </c>
      <c r="K1404" s="17" t="str">
        <f t="shared" si="108"/>
        <v/>
      </c>
      <c r="L1404" s="18" t="str">
        <f t="shared" si="109"/>
        <v/>
      </c>
      <c r="M1404" s="18" t="str">
        <f>IF(J1404&lt;&gt;-1,"",ROUND(F1404*IFERROR(INDEX(Stocuri!$G$5:$G$204,MATCH(D1404,Coduri,0)),0),2))</f>
        <v/>
      </c>
      <c r="N1404" s="19" t="str">
        <f t="shared" si="110"/>
        <v/>
      </c>
    </row>
    <row r="1405" spans="2:14" x14ac:dyDescent="0.2">
      <c r="B1405" s="15"/>
      <c r="C1405" s="6"/>
      <c r="D1405" s="12"/>
      <c r="E1405" s="10" t="str">
        <f t="shared" si="106"/>
        <v/>
      </c>
      <c r="F1405" s="16"/>
      <c r="G1405" s="13"/>
      <c r="H1405" s="6"/>
      <c r="I1405" s="6"/>
      <c r="J1405" s="11" t="str">
        <f t="shared" si="107"/>
        <v/>
      </c>
      <c r="K1405" s="17" t="str">
        <f t="shared" si="108"/>
        <v/>
      </c>
      <c r="L1405" s="18" t="str">
        <f t="shared" si="109"/>
        <v/>
      </c>
      <c r="M1405" s="18" t="str">
        <f>IF(J1405&lt;&gt;-1,"",ROUND(F1405*IFERROR(INDEX(Stocuri!$G$5:$G$204,MATCH(D1405,Coduri,0)),0),2))</f>
        <v/>
      </c>
      <c r="N1405" s="19" t="str">
        <f t="shared" si="110"/>
        <v/>
      </c>
    </row>
    <row r="1406" spans="2:14" x14ac:dyDescent="0.2">
      <c r="B1406" s="15"/>
      <c r="C1406" s="6"/>
      <c r="D1406" s="12"/>
      <c r="E1406" s="10" t="str">
        <f t="shared" si="106"/>
        <v/>
      </c>
      <c r="F1406" s="16"/>
      <c r="G1406" s="13"/>
      <c r="H1406" s="6"/>
      <c r="I1406" s="6"/>
      <c r="J1406" s="11" t="str">
        <f t="shared" si="107"/>
        <v/>
      </c>
      <c r="K1406" s="17" t="str">
        <f t="shared" si="108"/>
        <v/>
      </c>
      <c r="L1406" s="18" t="str">
        <f t="shared" si="109"/>
        <v/>
      </c>
      <c r="M1406" s="18" t="str">
        <f>IF(J1406&lt;&gt;-1,"",ROUND(F1406*IFERROR(INDEX(Stocuri!$G$5:$G$204,MATCH(D1406,Coduri,0)),0),2))</f>
        <v/>
      </c>
      <c r="N1406" s="19" t="str">
        <f t="shared" si="110"/>
        <v/>
      </c>
    </row>
    <row r="1407" spans="2:14" x14ac:dyDescent="0.2">
      <c r="B1407" s="15"/>
      <c r="C1407" s="6"/>
      <c r="D1407" s="12"/>
      <c r="E1407" s="10" t="str">
        <f t="shared" si="106"/>
        <v/>
      </c>
      <c r="F1407" s="16"/>
      <c r="G1407" s="13"/>
      <c r="H1407" s="6"/>
      <c r="I1407" s="6"/>
      <c r="J1407" s="11" t="str">
        <f t="shared" si="107"/>
        <v/>
      </c>
      <c r="K1407" s="17" t="str">
        <f t="shared" si="108"/>
        <v/>
      </c>
      <c r="L1407" s="18" t="str">
        <f t="shared" si="109"/>
        <v/>
      </c>
      <c r="M1407" s="18" t="str">
        <f>IF(J1407&lt;&gt;-1,"",ROUND(F1407*IFERROR(INDEX(Stocuri!$G$5:$G$204,MATCH(D1407,Coduri,0)),0),2))</f>
        <v/>
      </c>
      <c r="N1407" s="19" t="str">
        <f t="shared" si="110"/>
        <v/>
      </c>
    </row>
    <row r="1408" spans="2:14" x14ac:dyDescent="0.2">
      <c r="B1408" s="15"/>
      <c r="C1408" s="6"/>
      <c r="D1408" s="12"/>
      <c r="E1408" s="10" t="str">
        <f t="shared" si="106"/>
        <v/>
      </c>
      <c r="F1408" s="16"/>
      <c r="G1408" s="13"/>
      <c r="H1408" s="6"/>
      <c r="I1408" s="6"/>
      <c r="J1408" s="11" t="str">
        <f t="shared" si="107"/>
        <v/>
      </c>
      <c r="K1408" s="17" t="str">
        <f t="shared" si="108"/>
        <v/>
      </c>
      <c r="L1408" s="18" t="str">
        <f t="shared" si="109"/>
        <v/>
      </c>
      <c r="M1408" s="18" t="str">
        <f>IF(J1408&lt;&gt;-1,"",ROUND(F1408*IFERROR(INDEX(Stocuri!$G$5:$G$204,MATCH(D1408,Coduri,0)),0),2))</f>
        <v/>
      </c>
      <c r="N1408" s="19" t="str">
        <f t="shared" si="110"/>
        <v/>
      </c>
    </row>
    <row r="1409" spans="2:14" x14ac:dyDescent="0.2">
      <c r="B1409" s="15"/>
      <c r="C1409" s="6"/>
      <c r="D1409" s="12"/>
      <c r="E1409" s="10" t="str">
        <f t="shared" si="106"/>
        <v/>
      </c>
      <c r="F1409" s="16"/>
      <c r="G1409" s="13"/>
      <c r="H1409" s="6"/>
      <c r="I1409" s="6"/>
      <c r="J1409" s="11" t="str">
        <f t="shared" si="107"/>
        <v/>
      </c>
      <c r="K1409" s="17" t="str">
        <f t="shared" si="108"/>
        <v/>
      </c>
      <c r="L1409" s="18" t="str">
        <f t="shared" si="109"/>
        <v/>
      </c>
      <c r="M1409" s="18" t="str">
        <f>IF(J1409&lt;&gt;-1,"",ROUND(F1409*IFERROR(INDEX(Stocuri!$G$5:$G$204,MATCH(D1409,Coduri,0)),0),2))</f>
        <v/>
      </c>
      <c r="N1409" s="19" t="str">
        <f t="shared" si="110"/>
        <v/>
      </c>
    </row>
    <row r="1410" spans="2:14" x14ac:dyDescent="0.2">
      <c r="B1410" s="15"/>
      <c r="C1410" s="6"/>
      <c r="D1410" s="12"/>
      <c r="E1410" s="10" t="str">
        <f t="shared" si="106"/>
        <v/>
      </c>
      <c r="F1410" s="16"/>
      <c r="G1410" s="13"/>
      <c r="H1410" s="6"/>
      <c r="I1410" s="6"/>
      <c r="J1410" s="11" t="str">
        <f t="shared" si="107"/>
        <v/>
      </c>
      <c r="K1410" s="17" t="str">
        <f t="shared" si="108"/>
        <v/>
      </c>
      <c r="L1410" s="18" t="str">
        <f t="shared" si="109"/>
        <v/>
      </c>
      <c r="M1410" s="18" t="str">
        <f>IF(J1410&lt;&gt;-1,"",ROUND(F1410*IFERROR(INDEX(Stocuri!$G$5:$G$204,MATCH(D1410,Coduri,0)),0),2))</f>
        <v/>
      </c>
      <c r="N1410" s="19" t="str">
        <f t="shared" si="110"/>
        <v/>
      </c>
    </row>
    <row r="1411" spans="2:14" x14ac:dyDescent="0.2">
      <c r="B1411" s="15"/>
      <c r="C1411" s="6"/>
      <c r="D1411" s="12"/>
      <c r="E1411" s="10" t="str">
        <f t="shared" si="106"/>
        <v/>
      </c>
      <c r="F1411" s="16"/>
      <c r="G1411" s="13"/>
      <c r="H1411" s="6"/>
      <c r="I1411" s="6"/>
      <c r="J1411" s="11" t="str">
        <f t="shared" si="107"/>
        <v/>
      </c>
      <c r="K1411" s="17" t="str">
        <f t="shared" si="108"/>
        <v/>
      </c>
      <c r="L1411" s="18" t="str">
        <f t="shared" si="109"/>
        <v/>
      </c>
      <c r="M1411" s="18" t="str">
        <f>IF(J1411&lt;&gt;-1,"",ROUND(F1411*IFERROR(INDEX(Stocuri!$G$5:$G$204,MATCH(D1411,Coduri,0)),0),2))</f>
        <v/>
      </c>
      <c r="N1411" s="19" t="str">
        <f t="shared" si="110"/>
        <v/>
      </c>
    </row>
    <row r="1412" spans="2:14" x14ac:dyDescent="0.2">
      <c r="B1412" s="15"/>
      <c r="C1412" s="6"/>
      <c r="D1412" s="12"/>
      <c r="E1412" s="10" t="str">
        <f t="shared" si="106"/>
        <v/>
      </c>
      <c r="F1412" s="16"/>
      <c r="G1412" s="13"/>
      <c r="H1412" s="6"/>
      <c r="I1412" s="6"/>
      <c r="J1412" s="11" t="str">
        <f t="shared" si="107"/>
        <v/>
      </c>
      <c r="K1412" s="17" t="str">
        <f t="shared" si="108"/>
        <v/>
      </c>
      <c r="L1412" s="18" t="str">
        <f t="shared" si="109"/>
        <v/>
      </c>
      <c r="M1412" s="18" t="str">
        <f>IF(J1412&lt;&gt;-1,"",ROUND(F1412*IFERROR(INDEX(Stocuri!$G$5:$G$204,MATCH(D1412,Coduri,0)),0),2))</f>
        <v/>
      </c>
      <c r="N1412" s="19" t="str">
        <f t="shared" si="110"/>
        <v/>
      </c>
    </row>
    <row r="1413" spans="2:14" x14ac:dyDescent="0.2">
      <c r="B1413" s="15"/>
      <c r="C1413" s="6"/>
      <c r="D1413" s="12"/>
      <c r="E1413" s="10" t="str">
        <f t="shared" ref="E1413:E1476" si="111">IF(D1413="","",IFERROR(VLOOKUP(D1413,Catalog,2,FALSE),""))</f>
        <v/>
      </c>
      <c r="F1413" s="16"/>
      <c r="G1413" s="13"/>
      <c r="H1413" s="6"/>
      <c r="I1413" s="6"/>
      <c r="J1413" s="11" t="str">
        <f t="shared" ref="J1413:J1476" si="112">IF(C1413="","",IFERROR(VLOOKUP(C1413,TipSemn,2,FALSE),""))</f>
        <v/>
      </c>
      <c r="K1413" s="17" t="str">
        <f t="shared" ref="K1413:K1476" si="113">IF(OR(J1413="",F1413=""),"",J1413*F1413)</f>
        <v/>
      </c>
      <c r="L1413" s="18" t="str">
        <f t="shared" ref="L1413:L1476" si="114">IF(OR(J1413&lt;&gt;1,G1413=""),"",ROUND(F1413*G1413,2))</f>
        <v/>
      </c>
      <c r="M1413" s="18" t="str">
        <f>IF(J1413&lt;&gt;-1,"",ROUND(F1413*IFERROR(INDEX(Stocuri!$G$5:$G$204,MATCH(D1413,Coduri,0)),0),2))</f>
        <v/>
      </c>
      <c r="N1413" s="19" t="str">
        <f t="shared" ref="N1413:N1476" si="115">IF(AND(B1413="",D1413=""),"",TRIM(IF(OR(B1413="",C1413="",D1413="",F1413=""),"Date incomplete. ","")&amp;IF(AND(D1413&lt;&gt;"",E1413=""),"Cod necunoscut. ","")&amp;IF(AND(J1413=1,C1413&lt;&gt;"Retur de la client",C1413&lt;&gt;"Ajustare inventar +",G1413=""),"Lipsește prețul de intrare. ","")&amp;IF(AND(J1413=-1,D1413&lt;&gt;"",SUMIFS($K$5:$K$2004,$D$5:$D$2004,D1413,$B$5:$B$2004,"&lt;="&amp;B1413)&lt;0),"Stoc insuficient la această dată. ","")&amp;IF(AND(C1413&lt;&gt;"Stoc inițial",H1413=""),"Lipsește documentul. ","")))</f>
        <v/>
      </c>
    </row>
    <row r="1414" spans="2:14" x14ac:dyDescent="0.2">
      <c r="B1414" s="15"/>
      <c r="C1414" s="6"/>
      <c r="D1414" s="12"/>
      <c r="E1414" s="10" t="str">
        <f t="shared" si="111"/>
        <v/>
      </c>
      <c r="F1414" s="16"/>
      <c r="G1414" s="13"/>
      <c r="H1414" s="6"/>
      <c r="I1414" s="6"/>
      <c r="J1414" s="11" t="str">
        <f t="shared" si="112"/>
        <v/>
      </c>
      <c r="K1414" s="17" t="str">
        <f t="shared" si="113"/>
        <v/>
      </c>
      <c r="L1414" s="18" t="str">
        <f t="shared" si="114"/>
        <v/>
      </c>
      <c r="M1414" s="18" t="str">
        <f>IF(J1414&lt;&gt;-1,"",ROUND(F1414*IFERROR(INDEX(Stocuri!$G$5:$G$204,MATCH(D1414,Coduri,0)),0),2))</f>
        <v/>
      </c>
      <c r="N1414" s="19" t="str">
        <f t="shared" si="115"/>
        <v/>
      </c>
    </row>
    <row r="1415" spans="2:14" x14ac:dyDescent="0.2">
      <c r="B1415" s="15"/>
      <c r="C1415" s="6"/>
      <c r="D1415" s="12"/>
      <c r="E1415" s="10" t="str">
        <f t="shared" si="111"/>
        <v/>
      </c>
      <c r="F1415" s="16"/>
      <c r="G1415" s="13"/>
      <c r="H1415" s="6"/>
      <c r="I1415" s="6"/>
      <c r="J1415" s="11" t="str">
        <f t="shared" si="112"/>
        <v/>
      </c>
      <c r="K1415" s="17" t="str">
        <f t="shared" si="113"/>
        <v/>
      </c>
      <c r="L1415" s="18" t="str">
        <f t="shared" si="114"/>
        <v/>
      </c>
      <c r="M1415" s="18" t="str">
        <f>IF(J1415&lt;&gt;-1,"",ROUND(F1415*IFERROR(INDEX(Stocuri!$G$5:$G$204,MATCH(D1415,Coduri,0)),0),2))</f>
        <v/>
      </c>
      <c r="N1415" s="19" t="str">
        <f t="shared" si="115"/>
        <v/>
      </c>
    </row>
    <row r="1416" spans="2:14" x14ac:dyDescent="0.2">
      <c r="B1416" s="15"/>
      <c r="C1416" s="6"/>
      <c r="D1416" s="12"/>
      <c r="E1416" s="10" t="str">
        <f t="shared" si="111"/>
        <v/>
      </c>
      <c r="F1416" s="16"/>
      <c r="G1416" s="13"/>
      <c r="H1416" s="6"/>
      <c r="I1416" s="6"/>
      <c r="J1416" s="11" t="str">
        <f t="shared" si="112"/>
        <v/>
      </c>
      <c r="K1416" s="17" t="str">
        <f t="shared" si="113"/>
        <v/>
      </c>
      <c r="L1416" s="18" t="str">
        <f t="shared" si="114"/>
        <v/>
      </c>
      <c r="M1416" s="18" t="str">
        <f>IF(J1416&lt;&gt;-1,"",ROUND(F1416*IFERROR(INDEX(Stocuri!$G$5:$G$204,MATCH(D1416,Coduri,0)),0),2))</f>
        <v/>
      </c>
      <c r="N1416" s="19" t="str">
        <f t="shared" si="115"/>
        <v/>
      </c>
    </row>
    <row r="1417" spans="2:14" x14ac:dyDescent="0.2">
      <c r="B1417" s="15"/>
      <c r="C1417" s="6"/>
      <c r="D1417" s="12"/>
      <c r="E1417" s="10" t="str">
        <f t="shared" si="111"/>
        <v/>
      </c>
      <c r="F1417" s="16"/>
      <c r="G1417" s="13"/>
      <c r="H1417" s="6"/>
      <c r="I1417" s="6"/>
      <c r="J1417" s="11" t="str">
        <f t="shared" si="112"/>
        <v/>
      </c>
      <c r="K1417" s="17" t="str">
        <f t="shared" si="113"/>
        <v/>
      </c>
      <c r="L1417" s="18" t="str">
        <f t="shared" si="114"/>
        <v/>
      </c>
      <c r="M1417" s="18" t="str">
        <f>IF(J1417&lt;&gt;-1,"",ROUND(F1417*IFERROR(INDEX(Stocuri!$G$5:$G$204,MATCH(D1417,Coduri,0)),0),2))</f>
        <v/>
      </c>
      <c r="N1417" s="19" t="str">
        <f t="shared" si="115"/>
        <v/>
      </c>
    </row>
    <row r="1418" spans="2:14" x14ac:dyDescent="0.2">
      <c r="B1418" s="15"/>
      <c r="C1418" s="6"/>
      <c r="D1418" s="12"/>
      <c r="E1418" s="10" t="str">
        <f t="shared" si="111"/>
        <v/>
      </c>
      <c r="F1418" s="16"/>
      <c r="G1418" s="13"/>
      <c r="H1418" s="6"/>
      <c r="I1418" s="6"/>
      <c r="J1418" s="11" t="str">
        <f t="shared" si="112"/>
        <v/>
      </c>
      <c r="K1418" s="17" t="str">
        <f t="shared" si="113"/>
        <v/>
      </c>
      <c r="L1418" s="18" t="str">
        <f t="shared" si="114"/>
        <v/>
      </c>
      <c r="M1418" s="18" t="str">
        <f>IF(J1418&lt;&gt;-1,"",ROUND(F1418*IFERROR(INDEX(Stocuri!$G$5:$G$204,MATCH(D1418,Coduri,0)),0),2))</f>
        <v/>
      </c>
      <c r="N1418" s="19" t="str">
        <f t="shared" si="115"/>
        <v/>
      </c>
    </row>
    <row r="1419" spans="2:14" x14ac:dyDescent="0.2">
      <c r="B1419" s="15"/>
      <c r="C1419" s="6"/>
      <c r="D1419" s="12"/>
      <c r="E1419" s="10" t="str">
        <f t="shared" si="111"/>
        <v/>
      </c>
      <c r="F1419" s="16"/>
      <c r="G1419" s="13"/>
      <c r="H1419" s="6"/>
      <c r="I1419" s="6"/>
      <c r="J1419" s="11" t="str">
        <f t="shared" si="112"/>
        <v/>
      </c>
      <c r="K1419" s="17" t="str">
        <f t="shared" si="113"/>
        <v/>
      </c>
      <c r="L1419" s="18" t="str">
        <f t="shared" si="114"/>
        <v/>
      </c>
      <c r="M1419" s="18" t="str">
        <f>IF(J1419&lt;&gt;-1,"",ROUND(F1419*IFERROR(INDEX(Stocuri!$G$5:$G$204,MATCH(D1419,Coduri,0)),0),2))</f>
        <v/>
      </c>
      <c r="N1419" s="19" t="str">
        <f t="shared" si="115"/>
        <v/>
      </c>
    </row>
    <row r="1420" spans="2:14" x14ac:dyDescent="0.2">
      <c r="B1420" s="15"/>
      <c r="C1420" s="6"/>
      <c r="D1420" s="12"/>
      <c r="E1420" s="10" t="str">
        <f t="shared" si="111"/>
        <v/>
      </c>
      <c r="F1420" s="16"/>
      <c r="G1420" s="13"/>
      <c r="H1420" s="6"/>
      <c r="I1420" s="6"/>
      <c r="J1420" s="11" t="str">
        <f t="shared" si="112"/>
        <v/>
      </c>
      <c r="K1420" s="17" t="str">
        <f t="shared" si="113"/>
        <v/>
      </c>
      <c r="L1420" s="18" t="str">
        <f t="shared" si="114"/>
        <v/>
      </c>
      <c r="M1420" s="18" t="str">
        <f>IF(J1420&lt;&gt;-1,"",ROUND(F1420*IFERROR(INDEX(Stocuri!$G$5:$G$204,MATCH(D1420,Coduri,0)),0),2))</f>
        <v/>
      </c>
      <c r="N1420" s="19" t="str">
        <f t="shared" si="115"/>
        <v/>
      </c>
    </row>
    <row r="1421" spans="2:14" x14ac:dyDescent="0.2">
      <c r="B1421" s="15"/>
      <c r="C1421" s="6"/>
      <c r="D1421" s="12"/>
      <c r="E1421" s="10" t="str">
        <f t="shared" si="111"/>
        <v/>
      </c>
      <c r="F1421" s="16"/>
      <c r="G1421" s="13"/>
      <c r="H1421" s="6"/>
      <c r="I1421" s="6"/>
      <c r="J1421" s="11" t="str">
        <f t="shared" si="112"/>
        <v/>
      </c>
      <c r="K1421" s="17" t="str">
        <f t="shared" si="113"/>
        <v/>
      </c>
      <c r="L1421" s="18" t="str">
        <f t="shared" si="114"/>
        <v/>
      </c>
      <c r="M1421" s="18" t="str">
        <f>IF(J1421&lt;&gt;-1,"",ROUND(F1421*IFERROR(INDEX(Stocuri!$G$5:$G$204,MATCH(D1421,Coduri,0)),0),2))</f>
        <v/>
      </c>
      <c r="N1421" s="19" t="str">
        <f t="shared" si="115"/>
        <v/>
      </c>
    </row>
    <row r="1422" spans="2:14" x14ac:dyDescent="0.2">
      <c r="B1422" s="15"/>
      <c r="C1422" s="6"/>
      <c r="D1422" s="12"/>
      <c r="E1422" s="10" t="str">
        <f t="shared" si="111"/>
        <v/>
      </c>
      <c r="F1422" s="16"/>
      <c r="G1422" s="13"/>
      <c r="H1422" s="6"/>
      <c r="I1422" s="6"/>
      <c r="J1422" s="11" t="str">
        <f t="shared" si="112"/>
        <v/>
      </c>
      <c r="K1422" s="17" t="str">
        <f t="shared" si="113"/>
        <v/>
      </c>
      <c r="L1422" s="18" t="str">
        <f t="shared" si="114"/>
        <v/>
      </c>
      <c r="M1422" s="18" t="str">
        <f>IF(J1422&lt;&gt;-1,"",ROUND(F1422*IFERROR(INDEX(Stocuri!$G$5:$G$204,MATCH(D1422,Coduri,0)),0),2))</f>
        <v/>
      </c>
      <c r="N1422" s="19" t="str">
        <f t="shared" si="115"/>
        <v/>
      </c>
    </row>
    <row r="1423" spans="2:14" x14ac:dyDescent="0.2">
      <c r="B1423" s="15"/>
      <c r="C1423" s="6"/>
      <c r="D1423" s="12"/>
      <c r="E1423" s="10" t="str">
        <f t="shared" si="111"/>
        <v/>
      </c>
      <c r="F1423" s="16"/>
      <c r="G1423" s="13"/>
      <c r="H1423" s="6"/>
      <c r="I1423" s="6"/>
      <c r="J1423" s="11" t="str">
        <f t="shared" si="112"/>
        <v/>
      </c>
      <c r="K1423" s="17" t="str">
        <f t="shared" si="113"/>
        <v/>
      </c>
      <c r="L1423" s="18" t="str">
        <f t="shared" si="114"/>
        <v/>
      </c>
      <c r="M1423" s="18" t="str">
        <f>IF(J1423&lt;&gt;-1,"",ROUND(F1423*IFERROR(INDEX(Stocuri!$G$5:$G$204,MATCH(D1423,Coduri,0)),0),2))</f>
        <v/>
      </c>
      <c r="N1423" s="19" t="str">
        <f t="shared" si="115"/>
        <v/>
      </c>
    </row>
    <row r="1424" spans="2:14" x14ac:dyDescent="0.2">
      <c r="B1424" s="15"/>
      <c r="C1424" s="6"/>
      <c r="D1424" s="12"/>
      <c r="E1424" s="10" t="str">
        <f t="shared" si="111"/>
        <v/>
      </c>
      <c r="F1424" s="16"/>
      <c r="G1424" s="13"/>
      <c r="H1424" s="6"/>
      <c r="I1424" s="6"/>
      <c r="J1424" s="11" t="str">
        <f t="shared" si="112"/>
        <v/>
      </c>
      <c r="K1424" s="17" t="str">
        <f t="shared" si="113"/>
        <v/>
      </c>
      <c r="L1424" s="18" t="str">
        <f t="shared" si="114"/>
        <v/>
      </c>
      <c r="M1424" s="18" t="str">
        <f>IF(J1424&lt;&gt;-1,"",ROUND(F1424*IFERROR(INDEX(Stocuri!$G$5:$G$204,MATCH(D1424,Coduri,0)),0),2))</f>
        <v/>
      </c>
      <c r="N1424" s="19" t="str">
        <f t="shared" si="115"/>
        <v/>
      </c>
    </row>
    <row r="1425" spans="2:14" x14ac:dyDescent="0.2">
      <c r="B1425" s="15"/>
      <c r="C1425" s="6"/>
      <c r="D1425" s="12"/>
      <c r="E1425" s="10" t="str">
        <f t="shared" si="111"/>
        <v/>
      </c>
      <c r="F1425" s="16"/>
      <c r="G1425" s="13"/>
      <c r="H1425" s="6"/>
      <c r="I1425" s="6"/>
      <c r="J1425" s="11" t="str">
        <f t="shared" si="112"/>
        <v/>
      </c>
      <c r="K1425" s="17" t="str">
        <f t="shared" si="113"/>
        <v/>
      </c>
      <c r="L1425" s="18" t="str">
        <f t="shared" si="114"/>
        <v/>
      </c>
      <c r="M1425" s="18" t="str">
        <f>IF(J1425&lt;&gt;-1,"",ROUND(F1425*IFERROR(INDEX(Stocuri!$G$5:$G$204,MATCH(D1425,Coduri,0)),0),2))</f>
        <v/>
      </c>
      <c r="N1425" s="19" t="str">
        <f t="shared" si="115"/>
        <v/>
      </c>
    </row>
    <row r="1426" spans="2:14" x14ac:dyDescent="0.2">
      <c r="B1426" s="15"/>
      <c r="C1426" s="6"/>
      <c r="D1426" s="12"/>
      <c r="E1426" s="10" t="str">
        <f t="shared" si="111"/>
        <v/>
      </c>
      <c r="F1426" s="16"/>
      <c r="G1426" s="13"/>
      <c r="H1426" s="6"/>
      <c r="I1426" s="6"/>
      <c r="J1426" s="11" t="str">
        <f t="shared" si="112"/>
        <v/>
      </c>
      <c r="K1426" s="17" t="str">
        <f t="shared" si="113"/>
        <v/>
      </c>
      <c r="L1426" s="18" t="str">
        <f t="shared" si="114"/>
        <v/>
      </c>
      <c r="M1426" s="18" t="str">
        <f>IF(J1426&lt;&gt;-1,"",ROUND(F1426*IFERROR(INDEX(Stocuri!$G$5:$G$204,MATCH(D1426,Coduri,0)),0),2))</f>
        <v/>
      </c>
      <c r="N1426" s="19" t="str">
        <f t="shared" si="115"/>
        <v/>
      </c>
    </row>
    <row r="1427" spans="2:14" x14ac:dyDescent="0.2">
      <c r="B1427" s="15"/>
      <c r="C1427" s="6"/>
      <c r="D1427" s="12"/>
      <c r="E1427" s="10" t="str">
        <f t="shared" si="111"/>
        <v/>
      </c>
      <c r="F1427" s="16"/>
      <c r="G1427" s="13"/>
      <c r="H1427" s="6"/>
      <c r="I1427" s="6"/>
      <c r="J1427" s="11" t="str">
        <f t="shared" si="112"/>
        <v/>
      </c>
      <c r="K1427" s="17" t="str">
        <f t="shared" si="113"/>
        <v/>
      </c>
      <c r="L1427" s="18" t="str">
        <f t="shared" si="114"/>
        <v/>
      </c>
      <c r="M1427" s="18" t="str">
        <f>IF(J1427&lt;&gt;-1,"",ROUND(F1427*IFERROR(INDEX(Stocuri!$G$5:$G$204,MATCH(D1427,Coduri,0)),0),2))</f>
        <v/>
      </c>
      <c r="N1427" s="19" t="str">
        <f t="shared" si="115"/>
        <v/>
      </c>
    </row>
    <row r="1428" spans="2:14" x14ac:dyDescent="0.2">
      <c r="B1428" s="15"/>
      <c r="C1428" s="6"/>
      <c r="D1428" s="12"/>
      <c r="E1428" s="10" t="str">
        <f t="shared" si="111"/>
        <v/>
      </c>
      <c r="F1428" s="16"/>
      <c r="G1428" s="13"/>
      <c r="H1428" s="6"/>
      <c r="I1428" s="6"/>
      <c r="J1428" s="11" t="str">
        <f t="shared" si="112"/>
        <v/>
      </c>
      <c r="K1428" s="17" t="str">
        <f t="shared" si="113"/>
        <v/>
      </c>
      <c r="L1428" s="18" t="str">
        <f t="shared" si="114"/>
        <v/>
      </c>
      <c r="M1428" s="18" t="str">
        <f>IF(J1428&lt;&gt;-1,"",ROUND(F1428*IFERROR(INDEX(Stocuri!$G$5:$G$204,MATCH(D1428,Coduri,0)),0),2))</f>
        <v/>
      </c>
      <c r="N1428" s="19" t="str">
        <f t="shared" si="115"/>
        <v/>
      </c>
    </row>
    <row r="1429" spans="2:14" x14ac:dyDescent="0.2">
      <c r="B1429" s="15"/>
      <c r="C1429" s="6"/>
      <c r="D1429" s="12"/>
      <c r="E1429" s="10" t="str">
        <f t="shared" si="111"/>
        <v/>
      </c>
      <c r="F1429" s="16"/>
      <c r="G1429" s="13"/>
      <c r="H1429" s="6"/>
      <c r="I1429" s="6"/>
      <c r="J1429" s="11" t="str">
        <f t="shared" si="112"/>
        <v/>
      </c>
      <c r="K1429" s="17" t="str">
        <f t="shared" si="113"/>
        <v/>
      </c>
      <c r="L1429" s="18" t="str">
        <f t="shared" si="114"/>
        <v/>
      </c>
      <c r="M1429" s="18" t="str">
        <f>IF(J1429&lt;&gt;-1,"",ROUND(F1429*IFERROR(INDEX(Stocuri!$G$5:$G$204,MATCH(D1429,Coduri,0)),0),2))</f>
        <v/>
      </c>
      <c r="N1429" s="19" t="str">
        <f t="shared" si="115"/>
        <v/>
      </c>
    </row>
    <row r="1430" spans="2:14" x14ac:dyDescent="0.2">
      <c r="B1430" s="15"/>
      <c r="C1430" s="6"/>
      <c r="D1430" s="12"/>
      <c r="E1430" s="10" t="str">
        <f t="shared" si="111"/>
        <v/>
      </c>
      <c r="F1430" s="16"/>
      <c r="G1430" s="13"/>
      <c r="H1430" s="6"/>
      <c r="I1430" s="6"/>
      <c r="J1430" s="11" t="str">
        <f t="shared" si="112"/>
        <v/>
      </c>
      <c r="K1430" s="17" t="str">
        <f t="shared" si="113"/>
        <v/>
      </c>
      <c r="L1430" s="18" t="str">
        <f t="shared" si="114"/>
        <v/>
      </c>
      <c r="M1430" s="18" t="str">
        <f>IF(J1430&lt;&gt;-1,"",ROUND(F1430*IFERROR(INDEX(Stocuri!$G$5:$G$204,MATCH(D1430,Coduri,0)),0),2))</f>
        <v/>
      </c>
      <c r="N1430" s="19" t="str">
        <f t="shared" si="115"/>
        <v/>
      </c>
    </row>
    <row r="1431" spans="2:14" x14ac:dyDescent="0.2">
      <c r="B1431" s="15"/>
      <c r="C1431" s="6"/>
      <c r="D1431" s="12"/>
      <c r="E1431" s="10" t="str">
        <f t="shared" si="111"/>
        <v/>
      </c>
      <c r="F1431" s="16"/>
      <c r="G1431" s="13"/>
      <c r="H1431" s="6"/>
      <c r="I1431" s="6"/>
      <c r="J1431" s="11" t="str">
        <f t="shared" si="112"/>
        <v/>
      </c>
      <c r="K1431" s="17" t="str">
        <f t="shared" si="113"/>
        <v/>
      </c>
      <c r="L1431" s="18" t="str">
        <f t="shared" si="114"/>
        <v/>
      </c>
      <c r="M1431" s="18" t="str">
        <f>IF(J1431&lt;&gt;-1,"",ROUND(F1431*IFERROR(INDEX(Stocuri!$G$5:$G$204,MATCH(D1431,Coduri,0)),0),2))</f>
        <v/>
      </c>
      <c r="N1431" s="19" t="str">
        <f t="shared" si="115"/>
        <v/>
      </c>
    </row>
    <row r="1432" spans="2:14" x14ac:dyDescent="0.2">
      <c r="B1432" s="15"/>
      <c r="C1432" s="6"/>
      <c r="D1432" s="12"/>
      <c r="E1432" s="10" t="str">
        <f t="shared" si="111"/>
        <v/>
      </c>
      <c r="F1432" s="16"/>
      <c r="G1432" s="13"/>
      <c r="H1432" s="6"/>
      <c r="I1432" s="6"/>
      <c r="J1432" s="11" t="str">
        <f t="shared" si="112"/>
        <v/>
      </c>
      <c r="K1432" s="17" t="str">
        <f t="shared" si="113"/>
        <v/>
      </c>
      <c r="L1432" s="18" t="str">
        <f t="shared" si="114"/>
        <v/>
      </c>
      <c r="M1432" s="18" t="str">
        <f>IF(J1432&lt;&gt;-1,"",ROUND(F1432*IFERROR(INDEX(Stocuri!$G$5:$G$204,MATCH(D1432,Coduri,0)),0),2))</f>
        <v/>
      </c>
      <c r="N1432" s="19" t="str">
        <f t="shared" si="115"/>
        <v/>
      </c>
    </row>
    <row r="1433" spans="2:14" x14ac:dyDescent="0.2">
      <c r="B1433" s="15"/>
      <c r="C1433" s="6"/>
      <c r="D1433" s="12"/>
      <c r="E1433" s="10" t="str">
        <f t="shared" si="111"/>
        <v/>
      </c>
      <c r="F1433" s="16"/>
      <c r="G1433" s="13"/>
      <c r="H1433" s="6"/>
      <c r="I1433" s="6"/>
      <c r="J1433" s="11" t="str">
        <f t="shared" si="112"/>
        <v/>
      </c>
      <c r="K1433" s="17" t="str">
        <f t="shared" si="113"/>
        <v/>
      </c>
      <c r="L1433" s="18" t="str">
        <f t="shared" si="114"/>
        <v/>
      </c>
      <c r="M1433" s="18" t="str">
        <f>IF(J1433&lt;&gt;-1,"",ROUND(F1433*IFERROR(INDEX(Stocuri!$G$5:$G$204,MATCH(D1433,Coduri,0)),0),2))</f>
        <v/>
      </c>
      <c r="N1433" s="19" t="str">
        <f t="shared" si="115"/>
        <v/>
      </c>
    </row>
    <row r="1434" spans="2:14" x14ac:dyDescent="0.2">
      <c r="B1434" s="15"/>
      <c r="C1434" s="6"/>
      <c r="D1434" s="12"/>
      <c r="E1434" s="10" t="str">
        <f t="shared" si="111"/>
        <v/>
      </c>
      <c r="F1434" s="16"/>
      <c r="G1434" s="13"/>
      <c r="H1434" s="6"/>
      <c r="I1434" s="6"/>
      <c r="J1434" s="11" t="str">
        <f t="shared" si="112"/>
        <v/>
      </c>
      <c r="K1434" s="17" t="str">
        <f t="shared" si="113"/>
        <v/>
      </c>
      <c r="L1434" s="18" t="str">
        <f t="shared" si="114"/>
        <v/>
      </c>
      <c r="M1434" s="18" t="str">
        <f>IF(J1434&lt;&gt;-1,"",ROUND(F1434*IFERROR(INDEX(Stocuri!$G$5:$G$204,MATCH(D1434,Coduri,0)),0),2))</f>
        <v/>
      </c>
      <c r="N1434" s="19" t="str">
        <f t="shared" si="115"/>
        <v/>
      </c>
    </row>
    <row r="1435" spans="2:14" x14ac:dyDescent="0.2">
      <c r="B1435" s="15"/>
      <c r="C1435" s="6"/>
      <c r="D1435" s="12"/>
      <c r="E1435" s="10" t="str">
        <f t="shared" si="111"/>
        <v/>
      </c>
      <c r="F1435" s="16"/>
      <c r="G1435" s="13"/>
      <c r="H1435" s="6"/>
      <c r="I1435" s="6"/>
      <c r="J1435" s="11" t="str">
        <f t="shared" si="112"/>
        <v/>
      </c>
      <c r="K1435" s="17" t="str">
        <f t="shared" si="113"/>
        <v/>
      </c>
      <c r="L1435" s="18" t="str">
        <f t="shared" si="114"/>
        <v/>
      </c>
      <c r="M1435" s="18" t="str">
        <f>IF(J1435&lt;&gt;-1,"",ROUND(F1435*IFERROR(INDEX(Stocuri!$G$5:$G$204,MATCH(D1435,Coduri,0)),0),2))</f>
        <v/>
      </c>
      <c r="N1435" s="19" t="str">
        <f t="shared" si="115"/>
        <v/>
      </c>
    </row>
    <row r="1436" spans="2:14" x14ac:dyDescent="0.2">
      <c r="B1436" s="15"/>
      <c r="C1436" s="6"/>
      <c r="D1436" s="12"/>
      <c r="E1436" s="10" t="str">
        <f t="shared" si="111"/>
        <v/>
      </c>
      <c r="F1436" s="16"/>
      <c r="G1436" s="13"/>
      <c r="H1436" s="6"/>
      <c r="I1436" s="6"/>
      <c r="J1436" s="11" t="str">
        <f t="shared" si="112"/>
        <v/>
      </c>
      <c r="K1436" s="17" t="str">
        <f t="shared" si="113"/>
        <v/>
      </c>
      <c r="L1436" s="18" t="str">
        <f t="shared" si="114"/>
        <v/>
      </c>
      <c r="M1436" s="18" t="str">
        <f>IF(J1436&lt;&gt;-1,"",ROUND(F1436*IFERROR(INDEX(Stocuri!$G$5:$G$204,MATCH(D1436,Coduri,0)),0),2))</f>
        <v/>
      </c>
      <c r="N1436" s="19" t="str">
        <f t="shared" si="115"/>
        <v/>
      </c>
    </row>
    <row r="1437" spans="2:14" x14ac:dyDescent="0.2">
      <c r="B1437" s="15"/>
      <c r="C1437" s="6"/>
      <c r="D1437" s="12"/>
      <c r="E1437" s="10" t="str">
        <f t="shared" si="111"/>
        <v/>
      </c>
      <c r="F1437" s="16"/>
      <c r="G1437" s="13"/>
      <c r="H1437" s="6"/>
      <c r="I1437" s="6"/>
      <c r="J1437" s="11" t="str">
        <f t="shared" si="112"/>
        <v/>
      </c>
      <c r="K1437" s="17" t="str">
        <f t="shared" si="113"/>
        <v/>
      </c>
      <c r="L1437" s="18" t="str">
        <f t="shared" si="114"/>
        <v/>
      </c>
      <c r="M1437" s="18" t="str">
        <f>IF(J1437&lt;&gt;-1,"",ROUND(F1437*IFERROR(INDEX(Stocuri!$G$5:$G$204,MATCH(D1437,Coduri,0)),0),2))</f>
        <v/>
      </c>
      <c r="N1437" s="19" t="str">
        <f t="shared" si="115"/>
        <v/>
      </c>
    </row>
    <row r="1438" spans="2:14" x14ac:dyDescent="0.2">
      <c r="B1438" s="15"/>
      <c r="C1438" s="6"/>
      <c r="D1438" s="12"/>
      <c r="E1438" s="10" t="str">
        <f t="shared" si="111"/>
        <v/>
      </c>
      <c r="F1438" s="16"/>
      <c r="G1438" s="13"/>
      <c r="H1438" s="6"/>
      <c r="I1438" s="6"/>
      <c r="J1438" s="11" t="str">
        <f t="shared" si="112"/>
        <v/>
      </c>
      <c r="K1438" s="17" t="str">
        <f t="shared" si="113"/>
        <v/>
      </c>
      <c r="L1438" s="18" t="str">
        <f t="shared" si="114"/>
        <v/>
      </c>
      <c r="M1438" s="18" t="str">
        <f>IF(J1438&lt;&gt;-1,"",ROUND(F1438*IFERROR(INDEX(Stocuri!$G$5:$G$204,MATCH(D1438,Coduri,0)),0),2))</f>
        <v/>
      </c>
      <c r="N1438" s="19" t="str">
        <f t="shared" si="115"/>
        <v/>
      </c>
    </row>
    <row r="1439" spans="2:14" x14ac:dyDescent="0.2">
      <c r="B1439" s="15"/>
      <c r="C1439" s="6"/>
      <c r="D1439" s="12"/>
      <c r="E1439" s="10" t="str">
        <f t="shared" si="111"/>
        <v/>
      </c>
      <c r="F1439" s="16"/>
      <c r="G1439" s="13"/>
      <c r="H1439" s="6"/>
      <c r="I1439" s="6"/>
      <c r="J1439" s="11" t="str">
        <f t="shared" si="112"/>
        <v/>
      </c>
      <c r="K1439" s="17" t="str">
        <f t="shared" si="113"/>
        <v/>
      </c>
      <c r="L1439" s="18" t="str">
        <f t="shared" si="114"/>
        <v/>
      </c>
      <c r="M1439" s="18" t="str">
        <f>IF(J1439&lt;&gt;-1,"",ROUND(F1439*IFERROR(INDEX(Stocuri!$G$5:$G$204,MATCH(D1439,Coduri,0)),0),2))</f>
        <v/>
      </c>
      <c r="N1439" s="19" t="str">
        <f t="shared" si="115"/>
        <v/>
      </c>
    </row>
    <row r="1440" spans="2:14" x14ac:dyDescent="0.2">
      <c r="B1440" s="15"/>
      <c r="C1440" s="6"/>
      <c r="D1440" s="12"/>
      <c r="E1440" s="10" t="str">
        <f t="shared" si="111"/>
        <v/>
      </c>
      <c r="F1440" s="16"/>
      <c r="G1440" s="13"/>
      <c r="H1440" s="6"/>
      <c r="I1440" s="6"/>
      <c r="J1440" s="11" t="str">
        <f t="shared" si="112"/>
        <v/>
      </c>
      <c r="K1440" s="17" t="str">
        <f t="shared" si="113"/>
        <v/>
      </c>
      <c r="L1440" s="18" t="str">
        <f t="shared" si="114"/>
        <v/>
      </c>
      <c r="M1440" s="18" t="str">
        <f>IF(J1440&lt;&gt;-1,"",ROUND(F1440*IFERROR(INDEX(Stocuri!$G$5:$G$204,MATCH(D1440,Coduri,0)),0),2))</f>
        <v/>
      </c>
      <c r="N1440" s="19" t="str">
        <f t="shared" si="115"/>
        <v/>
      </c>
    </row>
    <row r="1441" spans="2:14" x14ac:dyDescent="0.2">
      <c r="B1441" s="15"/>
      <c r="C1441" s="6"/>
      <c r="D1441" s="12"/>
      <c r="E1441" s="10" t="str">
        <f t="shared" si="111"/>
        <v/>
      </c>
      <c r="F1441" s="16"/>
      <c r="G1441" s="13"/>
      <c r="H1441" s="6"/>
      <c r="I1441" s="6"/>
      <c r="J1441" s="11" t="str">
        <f t="shared" si="112"/>
        <v/>
      </c>
      <c r="K1441" s="17" t="str">
        <f t="shared" si="113"/>
        <v/>
      </c>
      <c r="L1441" s="18" t="str">
        <f t="shared" si="114"/>
        <v/>
      </c>
      <c r="M1441" s="18" t="str">
        <f>IF(J1441&lt;&gt;-1,"",ROUND(F1441*IFERROR(INDEX(Stocuri!$G$5:$G$204,MATCH(D1441,Coduri,0)),0),2))</f>
        <v/>
      </c>
      <c r="N1441" s="19" t="str">
        <f t="shared" si="115"/>
        <v/>
      </c>
    </row>
    <row r="1442" spans="2:14" x14ac:dyDescent="0.2">
      <c r="B1442" s="15"/>
      <c r="C1442" s="6"/>
      <c r="D1442" s="12"/>
      <c r="E1442" s="10" t="str">
        <f t="shared" si="111"/>
        <v/>
      </c>
      <c r="F1442" s="16"/>
      <c r="G1442" s="13"/>
      <c r="H1442" s="6"/>
      <c r="I1442" s="6"/>
      <c r="J1442" s="11" t="str">
        <f t="shared" si="112"/>
        <v/>
      </c>
      <c r="K1442" s="17" t="str">
        <f t="shared" si="113"/>
        <v/>
      </c>
      <c r="L1442" s="18" t="str">
        <f t="shared" si="114"/>
        <v/>
      </c>
      <c r="M1442" s="18" t="str">
        <f>IF(J1442&lt;&gt;-1,"",ROUND(F1442*IFERROR(INDEX(Stocuri!$G$5:$G$204,MATCH(D1442,Coduri,0)),0),2))</f>
        <v/>
      </c>
      <c r="N1442" s="19" t="str">
        <f t="shared" si="115"/>
        <v/>
      </c>
    </row>
    <row r="1443" spans="2:14" x14ac:dyDescent="0.2">
      <c r="B1443" s="15"/>
      <c r="C1443" s="6"/>
      <c r="D1443" s="12"/>
      <c r="E1443" s="10" t="str">
        <f t="shared" si="111"/>
        <v/>
      </c>
      <c r="F1443" s="16"/>
      <c r="G1443" s="13"/>
      <c r="H1443" s="6"/>
      <c r="I1443" s="6"/>
      <c r="J1443" s="11" t="str">
        <f t="shared" si="112"/>
        <v/>
      </c>
      <c r="K1443" s="17" t="str">
        <f t="shared" si="113"/>
        <v/>
      </c>
      <c r="L1443" s="18" t="str">
        <f t="shared" si="114"/>
        <v/>
      </c>
      <c r="M1443" s="18" t="str">
        <f>IF(J1443&lt;&gt;-1,"",ROUND(F1443*IFERROR(INDEX(Stocuri!$G$5:$G$204,MATCH(D1443,Coduri,0)),0),2))</f>
        <v/>
      </c>
      <c r="N1443" s="19" t="str">
        <f t="shared" si="115"/>
        <v/>
      </c>
    </row>
    <row r="1444" spans="2:14" x14ac:dyDescent="0.2">
      <c r="B1444" s="15"/>
      <c r="C1444" s="6"/>
      <c r="D1444" s="12"/>
      <c r="E1444" s="10" t="str">
        <f t="shared" si="111"/>
        <v/>
      </c>
      <c r="F1444" s="16"/>
      <c r="G1444" s="13"/>
      <c r="H1444" s="6"/>
      <c r="I1444" s="6"/>
      <c r="J1444" s="11" t="str">
        <f t="shared" si="112"/>
        <v/>
      </c>
      <c r="K1444" s="17" t="str">
        <f t="shared" si="113"/>
        <v/>
      </c>
      <c r="L1444" s="18" t="str">
        <f t="shared" si="114"/>
        <v/>
      </c>
      <c r="M1444" s="18" t="str">
        <f>IF(J1444&lt;&gt;-1,"",ROUND(F1444*IFERROR(INDEX(Stocuri!$G$5:$G$204,MATCH(D1444,Coduri,0)),0),2))</f>
        <v/>
      </c>
      <c r="N1444" s="19" t="str">
        <f t="shared" si="115"/>
        <v/>
      </c>
    </row>
    <row r="1445" spans="2:14" x14ac:dyDescent="0.2">
      <c r="B1445" s="15"/>
      <c r="C1445" s="6"/>
      <c r="D1445" s="12"/>
      <c r="E1445" s="10" t="str">
        <f t="shared" si="111"/>
        <v/>
      </c>
      <c r="F1445" s="16"/>
      <c r="G1445" s="13"/>
      <c r="H1445" s="6"/>
      <c r="I1445" s="6"/>
      <c r="J1445" s="11" t="str">
        <f t="shared" si="112"/>
        <v/>
      </c>
      <c r="K1445" s="17" t="str">
        <f t="shared" si="113"/>
        <v/>
      </c>
      <c r="L1445" s="18" t="str">
        <f t="shared" si="114"/>
        <v/>
      </c>
      <c r="M1445" s="18" t="str">
        <f>IF(J1445&lt;&gt;-1,"",ROUND(F1445*IFERROR(INDEX(Stocuri!$G$5:$G$204,MATCH(D1445,Coduri,0)),0),2))</f>
        <v/>
      </c>
      <c r="N1445" s="19" t="str">
        <f t="shared" si="115"/>
        <v/>
      </c>
    </row>
    <row r="1446" spans="2:14" x14ac:dyDescent="0.2">
      <c r="B1446" s="15"/>
      <c r="C1446" s="6"/>
      <c r="D1446" s="12"/>
      <c r="E1446" s="10" t="str">
        <f t="shared" si="111"/>
        <v/>
      </c>
      <c r="F1446" s="16"/>
      <c r="G1446" s="13"/>
      <c r="H1446" s="6"/>
      <c r="I1446" s="6"/>
      <c r="J1446" s="11" t="str">
        <f t="shared" si="112"/>
        <v/>
      </c>
      <c r="K1446" s="17" t="str">
        <f t="shared" si="113"/>
        <v/>
      </c>
      <c r="L1446" s="18" t="str">
        <f t="shared" si="114"/>
        <v/>
      </c>
      <c r="M1446" s="18" t="str">
        <f>IF(J1446&lt;&gt;-1,"",ROUND(F1446*IFERROR(INDEX(Stocuri!$G$5:$G$204,MATCH(D1446,Coduri,0)),0),2))</f>
        <v/>
      </c>
      <c r="N1446" s="19" t="str">
        <f t="shared" si="115"/>
        <v/>
      </c>
    </row>
    <row r="1447" spans="2:14" x14ac:dyDescent="0.2">
      <c r="B1447" s="15"/>
      <c r="C1447" s="6"/>
      <c r="D1447" s="12"/>
      <c r="E1447" s="10" t="str">
        <f t="shared" si="111"/>
        <v/>
      </c>
      <c r="F1447" s="16"/>
      <c r="G1447" s="13"/>
      <c r="H1447" s="6"/>
      <c r="I1447" s="6"/>
      <c r="J1447" s="11" t="str">
        <f t="shared" si="112"/>
        <v/>
      </c>
      <c r="K1447" s="17" t="str">
        <f t="shared" si="113"/>
        <v/>
      </c>
      <c r="L1447" s="18" t="str">
        <f t="shared" si="114"/>
        <v/>
      </c>
      <c r="M1447" s="18" t="str">
        <f>IF(J1447&lt;&gt;-1,"",ROUND(F1447*IFERROR(INDEX(Stocuri!$G$5:$G$204,MATCH(D1447,Coduri,0)),0),2))</f>
        <v/>
      </c>
      <c r="N1447" s="19" t="str">
        <f t="shared" si="115"/>
        <v/>
      </c>
    </row>
    <row r="1448" spans="2:14" x14ac:dyDescent="0.2">
      <c r="B1448" s="15"/>
      <c r="C1448" s="6"/>
      <c r="D1448" s="12"/>
      <c r="E1448" s="10" t="str">
        <f t="shared" si="111"/>
        <v/>
      </c>
      <c r="F1448" s="16"/>
      <c r="G1448" s="13"/>
      <c r="H1448" s="6"/>
      <c r="I1448" s="6"/>
      <c r="J1448" s="11" t="str">
        <f t="shared" si="112"/>
        <v/>
      </c>
      <c r="K1448" s="17" t="str">
        <f t="shared" si="113"/>
        <v/>
      </c>
      <c r="L1448" s="18" t="str">
        <f t="shared" si="114"/>
        <v/>
      </c>
      <c r="M1448" s="18" t="str">
        <f>IF(J1448&lt;&gt;-1,"",ROUND(F1448*IFERROR(INDEX(Stocuri!$G$5:$G$204,MATCH(D1448,Coduri,0)),0),2))</f>
        <v/>
      </c>
      <c r="N1448" s="19" t="str">
        <f t="shared" si="115"/>
        <v/>
      </c>
    </row>
    <row r="1449" spans="2:14" x14ac:dyDescent="0.2">
      <c r="B1449" s="15"/>
      <c r="C1449" s="6"/>
      <c r="D1449" s="12"/>
      <c r="E1449" s="10" t="str">
        <f t="shared" si="111"/>
        <v/>
      </c>
      <c r="F1449" s="16"/>
      <c r="G1449" s="13"/>
      <c r="H1449" s="6"/>
      <c r="I1449" s="6"/>
      <c r="J1449" s="11" t="str">
        <f t="shared" si="112"/>
        <v/>
      </c>
      <c r="K1449" s="17" t="str">
        <f t="shared" si="113"/>
        <v/>
      </c>
      <c r="L1449" s="18" t="str">
        <f t="shared" si="114"/>
        <v/>
      </c>
      <c r="M1449" s="18" t="str">
        <f>IF(J1449&lt;&gt;-1,"",ROUND(F1449*IFERROR(INDEX(Stocuri!$G$5:$G$204,MATCH(D1449,Coduri,0)),0),2))</f>
        <v/>
      </c>
      <c r="N1449" s="19" t="str">
        <f t="shared" si="115"/>
        <v/>
      </c>
    </row>
    <row r="1450" spans="2:14" x14ac:dyDescent="0.2">
      <c r="B1450" s="15"/>
      <c r="C1450" s="6"/>
      <c r="D1450" s="12"/>
      <c r="E1450" s="10" t="str">
        <f t="shared" si="111"/>
        <v/>
      </c>
      <c r="F1450" s="16"/>
      <c r="G1450" s="13"/>
      <c r="H1450" s="6"/>
      <c r="I1450" s="6"/>
      <c r="J1450" s="11" t="str">
        <f t="shared" si="112"/>
        <v/>
      </c>
      <c r="K1450" s="17" t="str">
        <f t="shared" si="113"/>
        <v/>
      </c>
      <c r="L1450" s="18" t="str">
        <f t="shared" si="114"/>
        <v/>
      </c>
      <c r="M1450" s="18" t="str">
        <f>IF(J1450&lt;&gt;-1,"",ROUND(F1450*IFERROR(INDEX(Stocuri!$G$5:$G$204,MATCH(D1450,Coduri,0)),0),2))</f>
        <v/>
      </c>
      <c r="N1450" s="19" t="str">
        <f t="shared" si="115"/>
        <v/>
      </c>
    </row>
    <row r="1451" spans="2:14" x14ac:dyDescent="0.2">
      <c r="B1451" s="15"/>
      <c r="C1451" s="6"/>
      <c r="D1451" s="12"/>
      <c r="E1451" s="10" t="str">
        <f t="shared" si="111"/>
        <v/>
      </c>
      <c r="F1451" s="16"/>
      <c r="G1451" s="13"/>
      <c r="H1451" s="6"/>
      <c r="I1451" s="6"/>
      <c r="J1451" s="11" t="str">
        <f t="shared" si="112"/>
        <v/>
      </c>
      <c r="K1451" s="17" t="str">
        <f t="shared" si="113"/>
        <v/>
      </c>
      <c r="L1451" s="18" t="str">
        <f t="shared" si="114"/>
        <v/>
      </c>
      <c r="M1451" s="18" t="str">
        <f>IF(J1451&lt;&gt;-1,"",ROUND(F1451*IFERROR(INDEX(Stocuri!$G$5:$G$204,MATCH(D1451,Coduri,0)),0),2))</f>
        <v/>
      </c>
      <c r="N1451" s="19" t="str">
        <f t="shared" si="115"/>
        <v/>
      </c>
    </row>
    <row r="1452" spans="2:14" x14ac:dyDescent="0.2">
      <c r="B1452" s="15"/>
      <c r="C1452" s="6"/>
      <c r="D1452" s="12"/>
      <c r="E1452" s="10" t="str">
        <f t="shared" si="111"/>
        <v/>
      </c>
      <c r="F1452" s="16"/>
      <c r="G1452" s="13"/>
      <c r="H1452" s="6"/>
      <c r="I1452" s="6"/>
      <c r="J1452" s="11" t="str">
        <f t="shared" si="112"/>
        <v/>
      </c>
      <c r="K1452" s="17" t="str">
        <f t="shared" si="113"/>
        <v/>
      </c>
      <c r="L1452" s="18" t="str">
        <f t="shared" si="114"/>
        <v/>
      </c>
      <c r="M1452" s="18" t="str">
        <f>IF(J1452&lt;&gt;-1,"",ROUND(F1452*IFERROR(INDEX(Stocuri!$G$5:$G$204,MATCH(D1452,Coduri,0)),0),2))</f>
        <v/>
      </c>
      <c r="N1452" s="19" t="str">
        <f t="shared" si="115"/>
        <v/>
      </c>
    </row>
    <row r="1453" spans="2:14" x14ac:dyDescent="0.2">
      <c r="B1453" s="15"/>
      <c r="C1453" s="6"/>
      <c r="D1453" s="12"/>
      <c r="E1453" s="10" t="str">
        <f t="shared" si="111"/>
        <v/>
      </c>
      <c r="F1453" s="16"/>
      <c r="G1453" s="13"/>
      <c r="H1453" s="6"/>
      <c r="I1453" s="6"/>
      <c r="J1453" s="11" t="str">
        <f t="shared" si="112"/>
        <v/>
      </c>
      <c r="K1453" s="17" t="str">
        <f t="shared" si="113"/>
        <v/>
      </c>
      <c r="L1453" s="18" t="str">
        <f t="shared" si="114"/>
        <v/>
      </c>
      <c r="M1453" s="18" t="str">
        <f>IF(J1453&lt;&gt;-1,"",ROUND(F1453*IFERROR(INDEX(Stocuri!$G$5:$G$204,MATCH(D1453,Coduri,0)),0),2))</f>
        <v/>
      </c>
      <c r="N1453" s="19" t="str">
        <f t="shared" si="115"/>
        <v/>
      </c>
    </row>
    <row r="1454" spans="2:14" x14ac:dyDescent="0.2">
      <c r="B1454" s="15"/>
      <c r="C1454" s="6"/>
      <c r="D1454" s="12"/>
      <c r="E1454" s="10" t="str">
        <f t="shared" si="111"/>
        <v/>
      </c>
      <c r="F1454" s="16"/>
      <c r="G1454" s="13"/>
      <c r="H1454" s="6"/>
      <c r="I1454" s="6"/>
      <c r="J1454" s="11" t="str">
        <f t="shared" si="112"/>
        <v/>
      </c>
      <c r="K1454" s="17" t="str">
        <f t="shared" si="113"/>
        <v/>
      </c>
      <c r="L1454" s="18" t="str">
        <f t="shared" si="114"/>
        <v/>
      </c>
      <c r="M1454" s="18" t="str">
        <f>IF(J1454&lt;&gt;-1,"",ROUND(F1454*IFERROR(INDEX(Stocuri!$G$5:$G$204,MATCH(D1454,Coduri,0)),0),2))</f>
        <v/>
      </c>
      <c r="N1454" s="19" t="str">
        <f t="shared" si="115"/>
        <v/>
      </c>
    </row>
    <row r="1455" spans="2:14" x14ac:dyDescent="0.2">
      <c r="B1455" s="15"/>
      <c r="C1455" s="6"/>
      <c r="D1455" s="12"/>
      <c r="E1455" s="10" t="str">
        <f t="shared" si="111"/>
        <v/>
      </c>
      <c r="F1455" s="16"/>
      <c r="G1455" s="13"/>
      <c r="H1455" s="6"/>
      <c r="I1455" s="6"/>
      <c r="J1455" s="11" t="str">
        <f t="shared" si="112"/>
        <v/>
      </c>
      <c r="K1455" s="17" t="str">
        <f t="shared" si="113"/>
        <v/>
      </c>
      <c r="L1455" s="18" t="str">
        <f t="shared" si="114"/>
        <v/>
      </c>
      <c r="M1455" s="18" t="str">
        <f>IF(J1455&lt;&gt;-1,"",ROUND(F1455*IFERROR(INDEX(Stocuri!$G$5:$G$204,MATCH(D1455,Coduri,0)),0),2))</f>
        <v/>
      </c>
      <c r="N1455" s="19" t="str">
        <f t="shared" si="115"/>
        <v/>
      </c>
    </row>
    <row r="1456" spans="2:14" x14ac:dyDescent="0.2">
      <c r="B1456" s="15"/>
      <c r="C1456" s="6"/>
      <c r="D1456" s="12"/>
      <c r="E1456" s="10" t="str">
        <f t="shared" si="111"/>
        <v/>
      </c>
      <c r="F1456" s="16"/>
      <c r="G1456" s="13"/>
      <c r="H1456" s="6"/>
      <c r="I1456" s="6"/>
      <c r="J1456" s="11" t="str">
        <f t="shared" si="112"/>
        <v/>
      </c>
      <c r="K1456" s="17" t="str">
        <f t="shared" si="113"/>
        <v/>
      </c>
      <c r="L1456" s="18" t="str">
        <f t="shared" si="114"/>
        <v/>
      </c>
      <c r="M1456" s="18" t="str">
        <f>IF(J1456&lt;&gt;-1,"",ROUND(F1456*IFERROR(INDEX(Stocuri!$G$5:$G$204,MATCH(D1456,Coduri,0)),0),2))</f>
        <v/>
      </c>
      <c r="N1456" s="19" t="str">
        <f t="shared" si="115"/>
        <v/>
      </c>
    </row>
    <row r="1457" spans="2:14" x14ac:dyDescent="0.2">
      <c r="B1457" s="15"/>
      <c r="C1457" s="6"/>
      <c r="D1457" s="12"/>
      <c r="E1457" s="10" t="str">
        <f t="shared" si="111"/>
        <v/>
      </c>
      <c r="F1457" s="16"/>
      <c r="G1457" s="13"/>
      <c r="H1457" s="6"/>
      <c r="I1457" s="6"/>
      <c r="J1457" s="11" t="str">
        <f t="shared" si="112"/>
        <v/>
      </c>
      <c r="K1457" s="17" t="str">
        <f t="shared" si="113"/>
        <v/>
      </c>
      <c r="L1457" s="18" t="str">
        <f t="shared" si="114"/>
        <v/>
      </c>
      <c r="M1457" s="18" t="str">
        <f>IF(J1457&lt;&gt;-1,"",ROUND(F1457*IFERROR(INDEX(Stocuri!$G$5:$G$204,MATCH(D1457,Coduri,0)),0),2))</f>
        <v/>
      </c>
      <c r="N1457" s="19" t="str">
        <f t="shared" si="115"/>
        <v/>
      </c>
    </row>
    <row r="1458" spans="2:14" x14ac:dyDescent="0.2">
      <c r="B1458" s="15"/>
      <c r="C1458" s="6"/>
      <c r="D1458" s="12"/>
      <c r="E1458" s="10" t="str">
        <f t="shared" si="111"/>
        <v/>
      </c>
      <c r="F1458" s="16"/>
      <c r="G1458" s="13"/>
      <c r="H1458" s="6"/>
      <c r="I1458" s="6"/>
      <c r="J1458" s="11" t="str">
        <f t="shared" si="112"/>
        <v/>
      </c>
      <c r="K1458" s="17" t="str">
        <f t="shared" si="113"/>
        <v/>
      </c>
      <c r="L1458" s="18" t="str">
        <f t="shared" si="114"/>
        <v/>
      </c>
      <c r="M1458" s="18" t="str">
        <f>IF(J1458&lt;&gt;-1,"",ROUND(F1458*IFERROR(INDEX(Stocuri!$G$5:$G$204,MATCH(D1458,Coduri,0)),0),2))</f>
        <v/>
      </c>
      <c r="N1458" s="19" t="str">
        <f t="shared" si="115"/>
        <v/>
      </c>
    </row>
    <row r="1459" spans="2:14" x14ac:dyDescent="0.2">
      <c r="B1459" s="15"/>
      <c r="C1459" s="6"/>
      <c r="D1459" s="12"/>
      <c r="E1459" s="10" t="str">
        <f t="shared" si="111"/>
        <v/>
      </c>
      <c r="F1459" s="16"/>
      <c r="G1459" s="13"/>
      <c r="H1459" s="6"/>
      <c r="I1459" s="6"/>
      <c r="J1459" s="11" t="str">
        <f t="shared" si="112"/>
        <v/>
      </c>
      <c r="K1459" s="17" t="str">
        <f t="shared" si="113"/>
        <v/>
      </c>
      <c r="L1459" s="18" t="str">
        <f t="shared" si="114"/>
        <v/>
      </c>
      <c r="M1459" s="18" t="str">
        <f>IF(J1459&lt;&gt;-1,"",ROUND(F1459*IFERROR(INDEX(Stocuri!$G$5:$G$204,MATCH(D1459,Coduri,0)),0),2))</f>
        <v/>
      </c>
      <c r="N1459" s="19" t="str">
        <f t="shared" si="115"/>
        <v/>
      </c>
    </row>
    <row r="1460" spans="2:14" x14ac:dyDescent="0.2">
      <c r="B1460" s="15"/>
      <c r="C1460" s="6"/>
      <c r="D1460" s="12"/>
      <c r="E1460" s="10" t="str">
        <f t="shared" si="111"/>
        <v/>
      </c>
      <c r="F1460" s="16"/>
      <c r="G1460" s="13"/>
      <c r="H1460" s="6"/>
      <c r="I1460" s="6"/>
      <c r="J1460" s="11" t="str">
        <f t="shared" si="112"/>
        <v/>
      </c>
      <c r="K1460" s="17" t="str">
        <f t="shared" si="113"/>
        <v/>
      </c>
      <c r="L1460" s="18" t="str">
        <f t="shared" si="114"/>
        <v/>
      </c>
      <c r="M1460" s="18" t="str">
        <f>IF(J1460&lt;&gt;-1,"",ROUND(F1460*IFERROR(INDEX(Stocuri!$G$5:$G$204,MATCH(D1460,Coduri,0)),0),2))</f>
        <v/>
      </c>
      <c r="N1460" s="19" t="str">
        <f t="shared" si="115"/>
        <v/>
      </c>
    </row>
    <row r="1461" spans="2:14" x14ac:dyDescent="0.2">
      <c r="B1461" s="15"/>
      <c r="C1461" s="6"/>
      <c r="D1461" s="12"/>
      <c r="E1461" s="10" t="str">
        <f t="shared" si="111"/>
        <v/>
      </c>
      <c r="F1461" s="16"/>
      <c r="G1461" s="13"/>
      <c r="H1461" s="6"/>
      <c r="I1461" s="6"/>
      <c r="J1461" s="11" t="str">
        <f t="shared" si="112"/>
        <v/>
      </c>
      <c r="K1461" s="17" t="str">
        <f t="shared" si="113"/>
        <v/>
      </c>
      <c r="L1461" s="18" t="str">
        <f t="shared" si="114"/>
        <v/>
      </c>
      <c r="M1461" s="18" t="str">
        <f>IF(J1461&lt;&gt;-1,"",ROUND(F1461*IFERROR(INDEX(Stocuri!$G$5:$G$204,MATCH(D1461,Coduri,0)),0),2))</f>
        <v/>
      </c>
      <c r="N1461" s="19" t="str">
        <f t="shared" si="115"/>
        <v/>
      </c>
    </row>
    <row r="1462" spans="2:14" x14ac:dyDescent="0.2">
      <c r="B1462" s="15"/>
      <c r="C1462" s="6"/>
      <c r="D1462" s="12"/>
      <c r="E1462" s="10" t="str">
        <f t="shared" si="111"/>
        <v/>
      </c>
      <c r="F1462" s="16"/>
      <c r="G1462" s="13"/>
      <c r="H1462" s="6"/>
      <c r="I1462" s="6"/>
      <c r="J1462" s="11" t="str">
        <f t="shared" si="112"/>
        <v/>
      </c>
      <c r="K1462" s="17" t="str">
        <f t="shared" si="113"/>
        <v/>
      </c>
      <c r="L1462" s="18" t="str">
        <f t="shared" si="114"/>
        <v/>
      </c>
      <c r="M1462" s="18" t="str">
        <f>IF(J1462&lt;&gt;-1,"",ROUND(F1462*IFERROR(INDEX(Stocuri!$G$5:$G$204,MATCH(D1462,Coduri,0)),0),2))</f>
        <v/>
      </c>
      <c r="N1462" s="19" t="str">
        <f t="shared" si="115"/>
        <v/>
      </c>
    </row>
    <row r="1463" spans="2:14" x14ac:dyDescent="0.2">
      <c r="B1463" s="15"/>
      <c r="C1463" s="6"/>
      <c r="D1463" s="12"/>
      <c r="E1463" s="10" t="str">
        <f t="shared" si="111"/>
        <v/>
      </c>
      <c r="F1463" s="16"/>
      <c r="G1463" s="13"/>
      <c r="H1463" s="6"/>
      <c r="I1463" s="6"/>
      <c r="J1463" s="11" t="str">
        <f t="shared" si="112"/>
        <v/>
      </c>
      <c r="K1463" s="17" t="str">
        <f t="shared" si="113"/>
        <v/>
      </c>
      <c r="L1463" s="18" t="str">
        <f t="shared" si="114"/>
        <v/>
      </c>
      <c r="M1463" s="18" t="str">
        <f>IF(J1463&lt;&gt;-1,"",ROUND(F1463*IFERROR(INDEX(Stocuri!$G$5:$G$204,MATCH(D1463,Coduri,0)),0),2))</f>
        <v/>
      </c>
      <c r="N1463" s="19" t="str">
        <f t="shared" si="115"/>
        <v/>
      </c>
    </row>
    <row r="1464" spans="2:14" x14ac:dyDescent="0.2">
      <c r="B1464" s="15"/>
      <c r="C1464" s="6"/>
      <c r="D1464" s="12"/>
      <c r="E1464" s="10" t="str">
        <f t="shared" si="111"/>
        <v/>
      </c>
      <c r="F1464" s="16"/>
      <c r="G1464" s="13"/>
      <c r="H1464" s="6"/>
      <c r="I1464" s="6"/>
      <c r="J1464" s="11" t="str">
        <f t="shared" si="112"/>
        <v/>
      </c>
      <c r="K1464" s="17" t="str">
        <f t="shared" si="113"/>
        <v/>
      </c>
      <c r="L1464" s="18" t="str">
        <f t="shared" si="114"/>
        <v/>
      </c>
      <c r="M1464" s="18" t="str">
        <f>IF(J1464&lt;&gt;-1,"",ROUND(F1464*IFERROR(INDEX(Stocuri!$G$5:$G$204,MATCH(D1464,Coduri,0)),0),2))</f>
        <v/>
      </c>
      <c r="N1464" s="19" t="str">
        <f t="shared" si="115"/>
        <v/>
      </c>
    </row>
    <row r="1465" spans="2:14" x14ac:dyDescent="0.2">
      <c r="B1465" s="15"/>
      <c r="C1465" s="6"/>
      <c r="D1465" s="12"/>
      <c r="E1465" s="10" t="str">
        <f t="shared" si="111"/>
        <v/>
      </c>
      <c r="F1465" s="16"/>
      <c r="G1465" s="13"/>
      <c r="H1465" s="6"/>
      <c r="I1465" s="6"/>
      <c r="J1465" s="11" t="str">
        <f t="shared" si="112"/>
        <v/>
      </c>
      <c r="K1465" s="17" t="str">
        <f t="shared" si="113"/>
        <v/>
      </c>
      <c r="L1465" s="18" t="str">
        <f t="shared" si="114"/>
        <v/>
      </c>
      <c r="M1465" s="18" t="str">
        <f>IF(J1465&lt;&gt;-1,"",ROUND(F1465*IFERROR(INDEX(Stocuri!$G$5:$G$204,MATCH(D1465,Coduri,0)),0),2))</f>
        <v/>
      </c>
      <c r="N1465" s="19" t="str">
        <f t="shared" si="115"/>
        <v/>
      </c>
    </row>
    <row r="1466" spans="2:14" x14ac:dyDescent="0.2">
      <c r="B1466" s="15"/>
      <c r="C1466" s="6"/>
      <c r="D1466" s="12"/>
      <c r="E1466" s="10" t="str">
        <f t="shared" si="111"/>
        <v/>
      </c>
      <c r="F1466" s="16"/>
      <c r="G1466" s="13"/>
      <c r="H1466" s="6"/>
      <c r="I1466" s="6"/>
      <c r="J1466" s="11" t="str">
        <f t="shared" si="112"/>
        <v/>
      </c>
      <c r="K1466" s="17" t="str">
        <f t="shared" si="113"/>
        <v/>
      </c>
      <c r="L1466" s="18" t="str">
        <f t="shared" si="114"/>
        <v/>
      </c>
      <c r="M1466" s="18" t="str">
        <f>IF(J1466&lt;&gt;-1,"",ROUND(F1466*IFERROR(INDEX(Stocuri!$G$5:$G$204,MATCH(D1466,Coduri,0)),0),2))</f>
        <v/>
      </c>
      <c r="N1466" s="19" t="str">
        <f t="shared" si="115"/>
        <v/>
      </c>
    </row>
    <row r="1467" spans="2:14" x14ac:dyDescent="0.2">
      <c r="B1467" s="15"/>
      <c r="C1467" s="6"/>
      <c r="D1467" s="12"/>
      <c r="E1467" s="10" t="str">
        <f t="shared" si="111"/>
        <v/>
      </c>
      <c r="F1467" s="16"/>
      <c r="G1467" s="13"/>
      <c r="H1467" s="6"/>
      <c r="I1467" s="6"/>
      <c r="J1467" s="11" t="str">
        <f t="shared" si="112"/>
        <v/>
      </c>
      <c r="K1467" s="17" t="str">
        <f t="shared" si="113"/>
        <v/>
      </c>
      <c r="L1467" s="18" t="str">
        <f t="shared" si="114"/>
        <v/>
      </c>
      <c r="M1467" s="18" t="str">
        <f>IF(J1467&lt;&gt;-1,"",ROUND(F1467*IFERROR(INDEX(Stocuri!$G$5:$G$204,MATCH(D1467,Coduri,0)),0),2))</f>
        <v/>
      </c>
      <c r="N1467" s="19" t="str">
        <f t="shared" si="115"/>
        <v/>
      </c>
    </row>
    <row r="1468" spans="2:14" x14ac:dyDescent="0.2">
      <c r="B1468" s="15"/>
      <c r="C1468" s="6"/>
      <c r="D1468" s="12"/>
      <c r="E1468" s="10" t="str">
        <f t="shared" si="111"/>
        <v/>
      </c>
      <c r="F1468" s="16"/>
      <c r="G1468" s="13"/>
      <c r="H1468" s="6"/>
      <c r="I1468" s="6"/>
      <c r="J1468" s="11" t="str">
        <f t="shared" si="112"/>
        <v/>
      </c>
      <c r="K1468" s="17" t="str">
        <f t="shared" si="113"/>
        <v/>
      </c>
      <c r="L1468" s="18" t="str">
        <f t="shared" si="114"/>
        <v/>
      </c>
      <c r="M1468" s="18" t="str">
        <f>IF(J1468&lt;&gt;-1,"",ROUND(F1468*IFERROR(INDEX(Stocuri!$G$5:$G$204,MATCH(D1468,Coduri,0)),0),2))</f>
        <v/>
      </c>
      <c r="N1468" s="19" t="str">
        <f t="shared" si="115"/>
        <v/>
      </c>
    </row>
    <row r="1469" spans="2:14" x14ac:dyDescent="0.2">
      <c r="B1469" s="15"/>
      <c r="C1469" s="6"/>
      <c r="D1469" s="12"/>
      <c r="E1469" s="10" t="str">
        <f t="shared" si="111"/>
        <v/>
      </c>
      <c r="F1469" s="16"/>
      <c r="G1469" s="13"/>
      <c r="H1469" s="6"/>
      <c r="I1469" s="6"/>
      <c r="J1469" s="11" t="str">
        <f t="shared" si="112"/>
        <v/>
      </c>
      <c r="K1469" s="17" t="str">
        <f t="shared" si="113"/>
        <v/>
      </c>
      <c r="L1469" s="18" t="str">
        <f t="shared" si="114"/>
        <v/>
      </c>
      <c r="M1469" s="18" t="str">
        <f>IF(J1469&lt;&gt;-1,"",ROUND(F1469*IFERROR(INDEX(Stocuri!$G$5:$G$204,MATCH(D1469,Coduri,0)),0),2))</f>
        <v/>
      </c>
      <c r="N1469" s="19" t="str">
        <f t="shared" si="115"/>
        <v/>
      </c>
    </row>
    <row r="1470" spans="2:14" x14ac:dyDescent="0.2">
      <c r="B1470" s="15"/>
      <c r="C1470" s="6"/>
      <c r="D1470" s="12"/>
      <c r="E1470" s="10" t="str">
        <f t="shared" si="111"/>
        <v/>
      </c>
      <c r="F1470" s="16"/>
      <c r="G1470" s="13"/>
      <c r="H1470" s="6"/>
      <c r="I1470" s="6"/>
      <c r="J1470" s="11" t="str">
        <f t="shared" si="112"/>
        <v/>
      </c>
      <c r="K1470" s="17" t="str">
        <f t="shared" si="113"/>
        <v/>
      </c>
      <c r="L1470" s="18" t="str">
        <f t="shared" si="114"/>
        <v/>
      </c>
      <c r="M1470" s="18" t="str">
        <f>IF(J1470&lt;&gt;-1,"",ROUND(F1470*IFERROR(INDEX(Stocuri!$G$5:$G$204,MATCH(D1470,Coduri,0)),0),2))</f>
        <v/>
      </c>
      <c r="N1470" s="19" t="str">
        <f t="shared" si="115"/>
        <v/>
      </c>
    </row>
    <row r="1471" spans="2:14" x14ac:dyDescent="0.2">
      <c r="B1471" s="15"/>
      <c r="C1471" s="6"/>
      <c r="D1471" s="12"/>
      <c r="E1471" s="10" t="str">
        <f t="shared" si="111"/>
        <v/>
      </c>
      <c r="F1471" s="16"/>
      <c r="G1471" s="13"/>
      <c r="H1471" s="6"/>
      <c r="I1471" s="6"/>
      <c r="J1471" s="11" t="str">
        <f t="shared" si="112"/>
        <v/>
      </c>
      <c r="K1471" s="17" t="str">
        <f t="shared" si="113"/>
        <v/>
      </c>
      <c r="L1471" s="18" t="str">
        <f t="shared" si="114"/>
        <v/>
      </c>
      <c r="M1471" s="18" t="str">
        <f>IF(J1471&lt;&gt;-1,"",ROUND(F1471*IFERROR(INDEX(Stocuri!$G$5:$G$204,MATCH(D1471,Coduri,0)),0),2))</f>
        <v/>
      </c>
      <c r="N1471" s="19" t="str">
        <f t="shared" si="115"/>
        <v/>
      </c>
    </row>
    <row r="1472" spans="2:14" x14ac:dyDescent="0.2">
      <c r="B1472" s="15"/>
      <c r="C1472" s="6"/>
      <c r="D1472" s="12"/>
      <c r="E1472" s="10" t="str">
        <f t="shared" si="111"/>
        <v/>
      </c>
      <c r="F1472" s="16"/>
      <c r="G1472" s="13"/>
      <c r="H1472" s="6"/>
      <c r="I1472" s="6"/>
      <c r="J1472" s="11" t="str">
        <f t="shared" si="112"/>
        <v/>
      </c>
      <c r="K1472" s="17" t="str">
        <f t="shared" si="113"/>
        <v/>
      </c>
      <c r="L1472" s="18" t="str">
        <f t="shared" si="114"/>
        <v/>
      </c>
      <c r="M1472" s="18" t="str">
        <f>IF(J1472&lt;&gt;-1,"",ROUND(F1472*IFERROR(INDEX(Stocuri!$G$5:$G$204,MATCH(D1472,Coduri,0)),0),2))</f>
        <v/>
      </c>
      <c r="N1472" s="19" t="str">
        <f t="shared" si="115"/>
        <v/>
      </c>
    </row>
    <row r="1473" spans="2:14" x14ac:dyDescent="0.2">
      <c r="B1473" s="15"/>
      <c r="C1473" s="6"/>
      <c r="D1473" s="12"/>
      <c r="E1473" s="10" t="str">
        <f t="shared" si="111"/>
        <v/>
      </c>
      <c r="F1473" s="16"/>
      <c r="G1473" s="13"/>
      <c r="H1473" s="6"/>
      <c r="I1473" s="6"/>
      <c r="J1473" s="11" t="str">
        <f t="shared" si="112"/>
        <v/>
      </c>
      <c r="K1473" s="17" t="str">
        <f t="shared" si="113"/>
        <v/>
      </c>
      <c r="L1473" s="18" t="str">
        <f t="shared" si="114"/>
        <v/>
      </c>
      <c r="M1473" s="18" t="str">
        <f>IF(J1473&lt;&gt;-1,"",ROUND(F1473*IFERROR(INDEX(Stocuri!$G$5:$G$204,MATCH(D1473,Coduri,0)),0),2))</f>
        <v/>
      </c>
      <c r="N1473" s="19" t="str">
        <f t="shared" si="115"/>
        <v/>
      </c>
    </row>
    <row r="1474" spans="2:14" x14ac:dyDescent="0.2">
      <c r="B1474" s="15"/>
      <c r="C1474" s="6"/>
      <c r="D1474" s="12"/>
      <c r="E1474" s="10" t="str">
        <f t="shared" si="111"/>
        <v/>
      </c>
      <c r="F1474" s="16"/>
      <c r="G1474" s="13"/>
      <c r="H1474" s="6"/>
      <c r="I1474" s="6"/>
      <c r="J1474" s="11" t="str">
        <f t="shared" si="112"/>
        <v/>
      </c>
      <c r="K1474" s="17" t="str">
        <f t="shared" si="113"/>
        <v/>
      </c>
      <c r="L1474" s="18" t="str">
        <f t="shared" si="114"/>
        <v/>
      </c>
      <c r="M1474" s="18" t="str">
        <f>IF(J1474&lt;&gt;-1,"",ROUND(F1474*IFERROR(INDEX(Stocuri!$G$5:$G$204,MATCH(D1474,Coduri,0)),0),2))</f>
        <v/>
      </c>
      <c r="N1474" s="19" t="str">
        <f t="shared" si="115"/>
        <v/>
      </c>
    </row>
    <row r="1475" spans="2:14" x14ac:dyDescent="0.2">
      <c r="B1475" s="15"/>
      <c r="C1475" s="6"/>
      <c r="D1475" s="12"/>
      <c r="E1475" s="10" t="str">
        <f t="shared" si="111"/>
        <v/>
      </c>
      <c r="F1475" s="16"/>
      <c r="G1475" s="13"/>
      <c r="H1475" s="6"/>
      <c r="I1475" s="6"/>
      <c r="J1475" s="11" t="str">
        <f t="shared" si="112"/>
        <v/>
      </c>
      <c r="K1475" s="17" t="str">
        <f t="shared" si="113"/>
        <v/>
      </c>
      <c r="L1475" s="18" t="str">
        <f t="shared" si="114"/>
        <v/>
      </c>
      <c r="M1475" s="18" t="str">
        <f>IF(J1475&lt;&gt;-1,"",ROUND(F1475*IFERROR(INDEX(Stocuri!$G$5:$G$204,MATCH(D1475,Coduri,0)),0),2))</f>
        <v/>
      </c>
      <c r="N1475" s="19" t="str">
        <f t="shared" si="115"/>
        <v/>
      </c>
    </row>
    <row r="1476" spans="2:14" x14ac:dyDescent="0.2">
      <c r="B1476" s="15"/>
      <c r="C1476" s="6"/>
      <c r="D1476" s="12"/>
      <c r="E1476" s="10" t="str">
        <f t="shared" si="111"/>
        <v/>
      </c>
      <c r="F1476" s="16"/>
      <c r="G1476" s="13"/>
      <c r="H1476" s="6"/>
      <c r="I1476" s="6"/>
      <c r="J1476" s="11" t="str">
        <f t="shared" si="112"/>
        <v/>
      </c>
      <c r="K1476" s="17" t="str">
        <f t="shared" si="113"/>
        <v/>
      </c>
      <c r="L1476" s="18" t="str">
        <f t="shared" si="114"/>
        <v/>
      </c>
      <c r="M1476" s="18" t="str">
        <f>IF(J1476&lt;&gt;-1,"",ROUND(F1476*IFERROR(INDEX(Stocuri!$G$5:$G$204,MATCH(D1476,Coduri,0)),0),2))</f>
        <v/>
      </c>
      <c r="N1476" s="19" t="str">
        <f t="shared" si="115"/>
        <v/>
      </c>
    </row>
    <row r="1477" spans="2:14" x14ac:dyDescent="0.2">
      <c r="B1477" s="15"/>
      <c r="C1477" s="6"/>
      <c r="D1477" s="12"/>
      <c r="E1477" s="10" t="str">
        <f t="shared" ref="E1477:E1540" si="116">IF(D1477="","",IFERROR(VLOOKUP(D1477,Catalog,2,FALSE),""))</f>
        <v/>
      </c>
      <c r="F1477" s="16"/>
      <c r="G1477" s="13"/>
      <c r="H1477" s="6"/>
      <c r="I1477" s="6"/>
      <c r="J1477" s="11" t="str">
        <f t="shared" ref="J1477:J1540" si="117">IF(C1477="","",IFERROR(VLOOKUP(C1477,TipSemn,2,FALSE),""))</f>
        <v/>
      </c>
      <c r="K1477" s="17" t="str">
        <f t="shared" ref="K1477:K1540" si="118">IF(OR(J1477="",F1477=""),"",J1477*F1477)</f>
        <v/>
      </c>
      <c r="L1477" s="18" t="str">
        <f t="shared" ref="L1477:L1540" si="119">IF(OR(J1477&lt;&gt;1,G1477=""),"",ROUND(F1477*G1477,2))</f>
        <v/>
      </c>
      <c r="M1477" s="18" t="str">
        <f>IF(J1477&lt;&gt;-1,"",ROUND(F1477*IFERROR(INDEX(Stocuri!$G$5:$G$204,MATCH(D1477,Coduri,0)),0),2))</f>
        <v/>
      </c>
      <c r="N1477" s="19" t="str">
        <f t="shared" ref="N1477:N1540" si="120">IF(AND(B1477="",D1477=""),"",TRIM(IF(OR(B1477="",C1477="",D1477="",F1477=""),"Date incomplete. ","")&amp;IF(AND(D1477&lt;&gt;"",E1477=""),"Cod necunoscut. ","")&amp;IF(AND(J1477=1,C1477&lt;&gt;"Retur de la client",C1477&lt;&gt;"Ajustare inventar +",G1477=""),"Lipsește prețul de intrare. ","")&amp;IF(AND(J1477=-1,D1477&lt;&gt;"",SUMIFS($K$5:$K$2004,$D$5:$D$2004,D1477,$B$5:$B$2004,"&lt;="&amp;B1477)&lt;0),"Stoc insuficient la această dată. ","")&amp;IF(AND(C1477&lt;&gt;"Stoc inițial",H1477=""),"Lipsește documentul. ","")))</f>
        <v/>
      </c>
    </row>
    <row r="1478" spans="2:14" x14ac:dyDescent="0.2">
      <c r="B1478" s="15"/>
      <c r="C1478" s="6"/>
      <c r="D1478" s="12"/>
      <c r="E1478" s="10" t="str">
        <f t="shared" si="116"/>
        <v/>
      </c>
      <c r="F1478" s="16"/>
      <c r="G1478" s="13"/>
      <c r="H1478" s="6"/>
      <c r="I1478" s="6"/>
      <c r="J1478" s="11" t="str">
        <f t="shared" si="117"/>
        <v/>
      </c>
      <c r="K1478" s="17" t="str">
        <f t="shared" si="118"/>
        <v/>
      </c>
      <c r="L1478" s="18" t="str">
        <f t="shared" si="119"/>
        <v/>
      </c>
      <c r="M1478" s="18" t="str">
        <f>IF(J1478&lt;&gt;-1,"",ROUND(F1478*IFERROR(INDEX(Stocuri!$G$5:$G$204,MATCH(D1478,Coduri,0)),0),2))</f>
        <v/>
      </c>
      <c r="N1478" s="19" t="str">
        <f t="shared" si="120"/>
        <v/>
      </c>
    </row>
    <row r="1479" spans="2:14" x14ac:dyDescent="0.2">
      <c r="B1479" s="15"/>
      <c r="C1479" s="6"/>
      <c r="D1479" s="12"/>
      <c r="E1479" s="10" t="str">
        <f t="shared" si="116"/>
        <v/>
      </c>
      <c r="F1479" s="16"/>
      <c r="G1479" s="13"/>
      <c r="H1479" s="6"/>
      <c r="I1479" s="6"/>
      <c r="J1479" s="11" t="str">
        <f t="shared" si="117"/>
        <v/>
      </c>
      <c r="K1479" s="17" t="str">
        <f t="shared" si="118"/>
        <v/>
      </c>
      <c r="L1479" s="18" t="str">
        <f t="shared" si="119"/>
        <v/>
      </c>
      <c r="M1479" s="18" t="str">
        <f>IF(J1479&lt;&gt;-1,"",ROUND(F1479*IFERROR(INDEX(Stocuri!$G$5:$G$204,MATCH(D1479,Coduri,0)),0),2))</f>
        <v/>
      </c>
      <c r="N1479" s="19" t="str">
        <f t="shared" si="120"/>
        <v/>
      </c>
    </row>
    <row r="1480" spans="2:14" x14ac:dyDescent="0.2">
      <c r="B1480" s="15"/>
      <c r="C1480" s="6"/>
      <c r="D1480" s="12"/>
      <c r="E1480" s="10" t="str">
        <f t="shared" si="116"/>
        <v/>
      </c>
      <c r="F1480" s="16"/>
      <c r="G1480" s="13"/>
      <c r="H1480" s="6"/>
      <c r="I1480" s="6"/>
      <c r="J1480" s="11" t="str">
        <f t="shared" si="117"/>
        <v/>
      </c>
      <c r="K1480" s="17" t="str">
        <f t="shared" si="118"/>
        <v/>
      </c>
      <c r="L1480" s="18" t="str">
        <f t="shared" si="119"/>
        <v/>
      </c>
      <c r="M1480" s="18" t="str">
        <f>IF(J1480&lt;&gt;-1,"",ROUND(F1480*IFERROR(INDEX(Stocuri!$G$5:$G$204,MATCH(D1480,Coduri,0)),0),2))</f>
        <v/>
      </c>
      <c r="N1480" s="19" t="str">
        <f t="shared" si="120"/>
        <v/>
      </c>
    </row>
    <row r="1481" spans="2:14" x14ac:dyDescent="0.2">
      <c r="B1481" s="15"/>
      <c r="C1481" s="6"/>
      <c r="D1481" s="12"/>
      <c r="E1481" s="10" t="str">
        <f t="shared" si="116"/>
        <v/>
      </c>
      <c r="F1481" s="16"/>
      <c r="G1481" s="13"/>
      <c r="H1481" s="6"/>
      <c r="I1481" s="6"/>
      <c r="J1481" s="11" t="str">
        <f t="shared" si="117"/>
        <v/>
      </c>
      <c r="K1481" s="17" t="str">
        <f t="shared" si="118"/>
        <v/>
      </c>
      <c r="L1481" s="18" t="str">
        <f t="shared" si="119"/>
        <v/>
      </c>
      <c r="M1481" s="18" t="str">
        <f>IF(J1481&lt;&gt;-1,"",ROUND(F1481*IFERROR(INDEX(Stocuri!$G$5:$G$204,MATCH(D1481,Coduri,0)),0),2))</f>
        <v/>
      </c>
      <c r="N1481" s="19" t="str">
        <f t="shared" si="120"/>
        <v/>
      </c>
    </row>
    <row r="1482" spans="2:14" x14ac:dyDescent="0.2">
      <c r="B1482" s="15"/>
      <c r="C1482" s="6"/>
      <c r="D1482" s="12"/>
      <c r="E1482" s="10" t="str">
        <f t="shared" si="116"/>
        <v/>
      </c>
      <c r="F1482" s="16"/>
      <c r="G1482" s="13"/>
      <c r="H1482" s="6"/>
      <c r="I1482" s="6"/>
      <c r="J1482" s="11" t="str">
        <f t="shared" si="117"/>
        <v/>
      </c>
      <c r="K1482" s="17" t="str">
        <f t="shared" si="118"/>
        <v/>
      </c>
      <c r="L1482" s="18" t="str">
        <f t="shared" si="119"/>
        <v/>
      </c>
      <c r="M1482" s="18" t="str">
        <f>IF(J1482&lt;&gt;-1,"",ROUND(F1482*IFERROR(INDEX(Stocuri!$G$5:$G$204,MATCH(D1482,Coduri,0)),0),2))</f>
        <v/>
      </c>
      <c r="N1482" s="19" t="str">
        <f t="shared" si="120"/>
        <v/>
      </c>
    </row>
    <row r="1483" spans="2:14" x14ac:dyDescent="0.2">
      <c r="B1483" s="15"/>
      <c r="C1483" s="6"/>
      <c r="D1483" s="12"/>
      <c r="E1483" s="10" t="str">
        <f t="shared" si="116"/>
        <v/>
      </c>
      <c r="F1483" s="16"/>
      <c r="G1483" s="13"/>
      <c r="H1483" s="6"/>
      <c r="I1483" s="6"/>
      <c r="J1483" s="11" t="str">
        <f t="shared" si="117"/>
        <v/>
      </c>
      <c r="K1483" s="17" t="str">
        <f t="shared" si="118"/>
        <v/>
      </c>
      <c r="L1483" s="18" t="str">
        <f t="shared" si="119"/>
        <v/>
      </c>
      <c r="M1483" s="18" t="str">
        <f>IF(J1483&lt;&gt;-1,"",ROUND(F1483*IFERROR(INDEX(Stocuri!$G$5:$G$204,MATCH(D1483,Coduri,0)),0),2))</f>
        <v/>
      </c>
      <c r="N1483" s="19" t="str">
        <f t="shared" si="120"/>
        <v/>
      </c>
    </row>
    <row r="1484" spans="2:14" x14ac:dyDescent="0.2">
      <c r="B1484" s="15"/>
      <c r="C1484" s="6"/>
      <c r="D1484" s="12"/>
      <c r="E1484" s="10" t="str">
        <f t="shared" si="116"/>
        <v/>
      </c>
      <c r="F1484" s="16"/>
      <c r="G1484" s="13"/>
      <c r="H1484" s="6"/>
      <c r="I1484" s="6"/>
      <c r="J1484" s="11" t="str">
        <f t="shared" si="117"/>
        <v/>
      </c>
      <c r="K1484" s="17" t="str">
        <f t="shared" si="118"/>
        <v/>
      </c>
      <c r="L1484" s="18" t="str">
        <f t="shared" si="119"/>
        <v/>
      </c>
      <c r="M1484" s="18" t="str">
        <f>IF(J1484&lt;&gt;-1,"",ROUND(F1484*IFERROR(INDEX(Stocuri!$G$5:$G$204,MATCH(D1484,Coduri,0)),0),2))</f>
        <v/>
      </c>
      <c r="N1484" s="19" t="str">
        <f t="shared" si="120"/>
        <v/>
      </c>
    </row>
    <row r="1485" spans="2:14" x14ac:dyDescent="0.2">
      <c r="B1485" s="15"/>
      <c r="C1485" s="6"/>
      <c r="D1485" s="12"/>
      <c r="E1485" s="10" t="str">
        <f t="shared" si="116"/>
        <v/>
      </c>
      <c r="F1485" s="16"/>
      <c r="G1485" s="13"/>
      <c r="H1485" s="6"/>
      <c r="I1485" s="6"/>
      <c r="J1485" s="11" t="str">
        <f t="shared" si="117"/>
        <v/>
      </c>
      <c r="K1485" s="17" t="str">
        <f t="shared" si="118"/>
        <v/>
      </c>
      <c r="L1485" s="18" t="str">
        <f t="shared" si="119"/>
        <v/>
      </c>
      <c r="M1485" s="18" t="str">
        <f>IF(J1485&lt;&gt;-1,"",ROUND(F1485*IFERROR(INDEX(Stocuri!$G$5:$G$204,MATCH(D1485,Coduri,0)),0),2))</f>
        <v/>
      </c>
      <c r="N1485" s="19" t="str">
        <f t="shared" si="120"/>
        <v/>
      </c>
    </row>
    <row r="1486" spans="2:14" x14ac:dyDescent="0.2">
      <c r="B1486" s="15"/>
      <c r="C1486" s="6"/>
      <c r="D1486" s="12"/>
      <c r="E1486" s="10" t="str">
        <f t="shared" si="116"/>
        <v/>
      </c>
      <c r="F1486" s="16"/>
      <c r="G1486" s="13"/>
      <c r="H1486" s="6"/>
      <c r="I1486" s="6"/>
      <c r="J1486" s="11" t="str">
        <f t="shared" si="117"/>
        <v/>
      </c>
      <c r="K1486" s="17" t="str">
        <f t="shared" si="118"/>
        <v/>
      </c>
      <c r="L1486" s="18" t="str">
        <f t="shared" si="119"/>
        <v/>
      </c>
      <c r="M1486" s="18" t="str">
        <f>IF(J1486&lt;&gt;-1,"",ROUND(F1486*IFERROR(INDEX(Stocuri!$G$5:$G$204,MATCH(D1486,Coduri,0)),0),2))</f>
        <v/>
      </c>
      <c r="N1486" s="19" t="str">
        <f t="shared" si="120"/>
        <v/>
      </c>
    </row>
    <row r="1487" spans="2:14" x14ac:dyDescent="0.2">
      <c r="B1487" s="15"/>
      <c r="C1487" s="6"/>
      <c r="D1487" s="12"/>
      <c r="E1487" s="10" t="str">
        <f t="shared" si="116"/>
        <v/>
      </c>
      <c r="F1487" s="16"/>
      <c r="G1487" s="13"/>
      <c r="H1487" s="6"/>
      <c r="I1487" s="6"/>
      <c r="J1487" s="11" t="str">
        <f t="shared" si="117"/>
        <v/>
      </c>
      <c r="K1487" s="17" t="str">
        <f t="shared" si="118"/>
        <v/>
      </c>
      <c r="L1487" s="18" t="str">
        <f t="shared" si="119"/>
        <v/>
      </c>
      <c r="M1487" s="18" t="str">
        <f>IF(J1487&lt;&gt;-1,"",ROUND(F1487*IFERROR(INDEX(Stocuri!$G$5:$G$204,MATCH(D1487,Coduri,0)),0),2))</f>
        <v/>
      </c>
      <c r="N1487" s="19" t="str">
        <f t="shared" si="120"/>
        <v/>
      </c>
    </row>
    <row r="1488" spans="2:14" x14ac:dyDescent="0.2">
      <c r="B1488" s="15"/>
      <c r="C1488" s="6"/>
      <c r="D1488" s="12"/>
      <c r="E1488" s="10" t="str">
        <f t="shared" si="116"/>
        <v/>
      </c>
      <c r="F1488" s="16"/>
      <c r="G1488" s="13"/>
      <c r="H1488" s="6"/>
      <c r="I1488" s="6"/>
      <c r="J1488" s="11" t="str">
        <f t="shared" si="117"/>
        <v/>
      </c>
      <c r="K1488" s="17" t="str">
        <f t="shared" si="118"/>
        <v/>
      </c>
      <c r="L1488" s="18" t="str">
        <f t="shared" si="119"/>
        <v/>
      </c>
      <c r="M1488" s="18" t="str">
        <f>IF(J1488&lt;&gt;-1,"",ROUND(F1488*IFERROR(INDEX(Stocuri!$G$5:$G$204,MATCH(D1488,Coduri,0)),0),2))</f>
        <v/>
      </c>
      <c r="N1488" s="19" t="str">
        <f t="shared" si="120"/>
        <v/>
      </c>
    </row>
    <row r="1489" spans="2:14" x14ac:dyDescent="0.2">
      <c r="B1489" s="15"/>
      <c r="C1489" s="6"/>
      <c r="D1489" s="12"/>
      <c r="E1489" s="10" t="str">
        <f t="shared" si="116"/>
        <v/>
      </c>
      <c r="F1489" s="16"/>
      <c r="G1489" s="13"/>
      <c r="H1489" s="6"/>
      <c r="I1489" s="6"/>
      <c r="J1489" s="11" t="str">
        <f t="shared" si="117"/>
        <v/>
      </c>
      <c r="K1489" s="17" t="str">
        <f t="shared" si="118"/>
        <v/>
      </c>
      <c r="L1489" s="18" t="str">
        <f t="shared" si="119"/>
        <v/>
      </c>
      <c r="M1489" s="18" t="str">
        <f>IF(J1489&lt;&gt;-1,"",ROUND(F1489*IFERROR(INDEX(Stocuri!$G$5:$G$204,MATCH(D1489,Coduri,0)),0),2))</f>
        <v/>
      </c>
      <c r="N1489" s="19" t="str">
        <f t="shared" si="120"/>
        <v/>
      </c>
    </row>
    <row r="1490" spans="2:14" x14ac:dyDescent="0.2">
      <c r="B1490" s="15"/>
      <c r="C1490" s="6"/>
      <c r="D1490" s="12"/>
      <c r="E1490" s="10" t="str">
        <f t="shared" si="116"/>
        <v/>
      </c>
      <c r="F1490" s="16"/>
      <c r="G1490" s="13"/>
      <c r="H1490" s="6"/>
      <c r="I1490" s="6"/>
      <c r="J1490" s="11" t="str">
        <f t="shared" si="117"/>
        <v/>
      </c>
      <c r="K1490" s="17" t="str">
        <f t="shared" si="118"/>
        <v/>
      </c>
      <c r="L1490" s="18" t="str">
        <f t="shared" si="119"/>
        <v/>
      </c>
      <c r="M1490" s="18" t="str">
        <f>IF(J1490&lt;&gt;-1,"",ROUND(F1490*IFERROR(INDEX(Stocuri!$G$5:$G$204,MATCH(D1490,Coduri,0)),0),2))</f>
        <v/>
      </c>
      <c r="N1490" s="19" t="str">
        <f t="shared" si="120"/>
        <v/>
      </c>
    </row>
    <row r="1491" spans="2:14" x14ac:dyDescent="0.2">
      <c r="B1491" s="15"/>
      <c r="C1491" s="6"/>
      <c r="D1491" s="12"/>
      <c r="E1491" s="10" t="str">
        <f t="shared" si="116"/>
        <v/>
      </c>
      <c r="F1491" s="16"/>
      <c r="G1491" s="13"/>
      <c r="H1491" s="6"/>
      <c r="I1491" s="6"/>
      <c r="J1491" s="11" t="str">
        <f t="shared" si="117"/>
        <v/>
      </c>
      <c r="K1491" s="17" t="str">
        <f t="shared" si="118"/>
        <v/>
      </c>
      <c r="L1491" s="18" t="str">
        <f t="shared" si="119"/>
        <v/>
      </c>
      <c r="M1491" s="18" t="str">
        <f>IF(J1491&lt;&gt;-1,"",ROUND(F1491*IFERROR(INDEX(Stocuri!$G$5:$G$204,MATCH(D1491,Coduri,0)),0),2))</f>
        <v/>
      </c>
      <c r="N1491" s="19" t="str">
        <f t="shared" si="120"/>
        <v/>
      </c>
    </row>
    <row r="1492" spans="2:14" x14ac:dyDescent="0.2">
      <c r="B1492" s="15"/>
      <c r="C1492" s="6"/>
      <c r="D1492" s="12"/>
      <c r="E1492" s="10" t="str">
        <f t="shared" si="116"/>
        <v/>
      </c>
      <c r="F1492" s="16"/>
      <c r="G1492" s="13"/>
      <c r="H1492" s="6"/>
      <c r="I1492" s="6"/>
      <c r="J1492" s="11" t="str">
        <f t="shared" si="117"/>
        <v/>
      </c>
      <c r="K1492" s="17" t="str">
        <f t="shared" si="118"/>
        <v/>
      </c>
      <c r="L1492" s="18" t="str">
        <f t="shared" si="119"/>
        <v/>
      </c>
      <c r="M1492" s="18" t="str">
        <f>IF(J1492&lt;&gt;-1,"",ROUND(F1492*IFERROR(INDEX(Stocuri!$G$5:$G$204,MATCH(D1492,Coduri,0)),0),2))</f>
        <v/>
      </c>
      <c r="N1492" s="19" t="str">
        <f t="shared" si="120"/>
        <v/>
      </c>
    </row>
    <row r="1493" spans="2:14" x14ac:dyDescent="0.2">
      <c r="B1493" s="15"/>
      <c r="C1493" s="6"/>
      <c r="D1493" s="12"/>
      <c r="E1493" s="10" t="str">
        <f t="shared" si="116"/>
        <v/>
      </c>
      <c r="F1493" s="16"/>
      <c r="G1493" s="13"/>
      <c r="H1493" s="6"/>
      <c r="I1493" s="6"/>
      <c r="J1493" s="11" t="str">
        <f t="shared" si="117"/>
        <v/>
      </c>
      <c r="K1493" s="17" t="str">
        <f t="shared" si="118"/>
        <v/>
      </c>
      <c r="L1493" s="18" t="str">
        <f t="shared" si="119"/>
        <v/>
      </c>
      <c r="M1493" s="18" t="str">
        <f>IF(J1493&lt;&gt;-1,"",ROUND(F1493*IFERROR(INDEX(Stocuri!$G$5:$G$204,MATCH(D1493,Coduri,0)),0),2))</f>
        <v/>
      </c>
      <c r="N1493" s="19" t="str">
        <f t="shared" si="120"/>
        <v/>
      </c>
    </row>
    <row r="1494" spans="2:14" x14ac:dyDescent="0.2">
      <c r="B1494" s="15"/>
      <c r="C1494" s="6"/>
      <c r="D1494" s="12"/>
      <c r="E1494" s="10" t="str">
        <f t="shared" si="116"/>
        <v/>
      </c>
      <c r="F1494" s="16"/>
      <c r="G1494" s="13"/>
      <c r="H1494" s="6"/>
      <c r="I1494" s="6"/>
      <c r="J1494" s="11" t="str">
        <f t="shared" si="117"/>
        <v/>
      </c>
      <c r="K1494" s="17" t="str">
        <f t="shared" si="118"/>
        <v/>
      </c>
      <c r="L1494" s="18" t="str">
        <f t="shared" si="119"/>
        <v/>
      </c>
      <c r="M1494" s="18" t="str">
        <f>IF(J1494&lt;&gt;-1,"",ROUND(F1494*IFERROR(INDEX(Stocuri!$G$5:$G$204,MATCH(D1494,Coduri,0)),0),2))</f>
        <v/>
      </c>
      <c r="N1494" s="19" t="str">
        <f t="shared" si="120"/>
        <v/>
      </c>
    </row>
    <row r="1495" spans="2:14" x14ac:dyDescent="0.2">
      <c r="B1495" s="15"/>
      <c r="C1495" s="6"/>
      <c r="D1495" s="12"/>
      <c r="E1495" s="10" t="str">
        <f t="shared" si="116"/>
        <v/>
      </c>
      <c r="F1495" s="16"/>
      <c r="G1495" s="13"/>
      <c r="H1495" s="6"/>
      <c r="I1495" s="6"/>
      <c r="J1495" s="11" t="str">
        <f t="shared" si="117"/>
        <v/>
      </c>
      <c r="K1495" s="17" t="str">
        <f t="shared" si="118"/>
        <v/>
      </c>
      <c r="L1495" s="18" t="str">
        <f t="shared" si="119"/>
        <v/>
      </c>
      <c r="M1495" s="18" t="str">
        <f>IF(J1495&lt;&gt;-1,"",ROUND(F1495*IFERROR(INDEX(Stocuri!$G$5:$G$204,MATCH(D1495,Coduri,0)),0),2))</f>
        <v/>
      </c>
      <c r="N1495" s="19" t="str">
        <f t="shared" si="120"/>
        <v/>
      </c>
    </row>
    <row r="1496" spans="2:14" x14ac:dyDescent="0.2">
      <c r="B1496" s="15"/>
      <c r="C1496" s="6"/>
      <c r="D1496" s="12"/>
      <c r="E1496" s="10" t="str">
        <f t="shared" si="116"/>
        <v/>
      </c>
      <c r="F1496" s="16"/>
      <c r="G1496" s="13"/>
      <c r="H1496" s="6"/>
      <c r="I1496" s="6"/>
      <c r="J1496" s="11" t="str">
        <f t="shared" si="117"/>
        <v/>
      </c>
      <c r="K1496" s="17" t="str">
        <f t="shared" si="118"/>
        <v/>
      </c>
      <c r="L1496" s="18" t="str">
        <f t="shared" si="119"/>
        <v/>
      </c>
      <c r="M1496" s="18" t="str">
        <f>IF(J1496&lt;&gt;-1,"",ROUND(F1496*IFERROR(INDEX(Stocuri!$G$5:$G$204,MATCH(D1496,Coduri,0)),0),2))</f>
        <v/>
      </c>
      <c r="N1496" s="19" t="str">
        <f t="shared" si="120"/>
        <v/>
      </c>
    </row>
    <row r="1497" spans="2:14" x14ac:dyDescent="0.2">
      <c r="B1497" s="15"/>
      <c r="C1497" s="6"/>
      <c r="D1497" s="12"/>
      <c r="E1497" s="10" t="str">
        <f t="shared" si="116"/>
        <v/>
      </c>
      <c r="F1497" s="16"/>
      <c r="G1497" s="13"/>
      <c r="H1497" s="6"/>
      <c r="I1497" s="6"/>
      <c r="J1497" s="11" t="str">
        <f t="shared" si="117"/>
        <v/>
      </c>
      <c r="K1497" s="17" t="str">
        <f t="shared" si="118"/>
        <v/>
      </c>
      <c r="L1497" s="18" t="str">
        <f t="shared" si="119"/>
        <v/>
      </c>
      <c r="M1497" s="18" t="str">
        <f>IF(J1497&lt;&gt;-1,"",ROUND(F1497*IFERROR(INDEX(Stocuri!$G$5:$G$204,MATCH(D1497,Coduri,0)),0),2))</f>
        <v/>
      </c>
      <c r="N1497" s="19" t="str">
        <f t="shared" si="120"/>
        <v/>
      </c>
    </row>
    <row r="1498" spans="2:14" x14ac:dyDescent="0.2">
      <c r="B1498" s="15"/>
      <c r="C1498" s="6"/>
      <c r="D1498" s="12"/>
      <c r="E1498" s="10" t="str">
        <f t="shared" si="116"/>
        <v/>
      </c>
      <c r="F1498" s="16"/>
      <c r="G1498" s="13"/>
      <c r="H1498" s="6"/>
      <c r="I1498" s="6"/>
      <c r="J1498" s="11" t="str">
        <f t="shared" si="117"/>
        <v/>
      </c>
      <c r="K1498" s="17" t="str">
        <f t="shared" si="118"/>
        <v/>
      </c>
      <c r="L1498" s="18" t="str">
        <f t="shared" si="119"/>
        <v/>
      </c>
      <c r="M1498" s="18" t="str">
        <f>IF(J1498&lt;&gt;-1,"",ROUND(F1498*IFERROR(INDEX(Stocuri!$G$5:$G$204,MATCH(D1498,Coduri,0)),0),2))</f>
        <v/>
      </c>
      <c r="N1498" s="19" t="str">
        <f t="shared" si="120"/>
        <v/>
      </c>
    </row>
    <row r="1499" spans="2:14" x14ac:dyDescent="0.2">
      <c r="B1499" s="15"/>
      <c r="C1499" s="6"/>
      <c r="D1499" s="12"/>
      <c r="E1499" s="10" t="str">
        <f t="shared" si="116"/>
        <v/>
      </c>
      <c r="F1499" s="16"/>
      <c r="G1499" s="13"/>
      <c r="H1499" s="6"/>
      <c r="I1499" s="6"/>
      <c r="J1499" s="11" t="str">
        <f t="shared" si="117"/>
        <v/>
      </c>
      <c r="K1499" s="17" t="str">
        <f t="shared" si="118"/>
        <v/>
      </c>
      <c r="L1499" s="18" t="str">
        <f t="shared" si="119"/>
        <v/>
      </c>
      <c r="M1499" s="18" t="str">
        <f>IF(J1499&lt;&gt;-1,"",ROUND(F1499*IFERROR(INDEX(Stocuri!$G$5:$G$204,MATCH(D1499,Coduri,0)),0),2))</f>
        <v/>
      </c>
      <c r="N1499" s="19" t="str">
        <f t="shared" si="120"/>
        <v/>
      </c>
    </row>
    <row r="1500" spans="2:14" x14ac:dyDescent="0.2">
      <c r="B1500" s="15"/>
      <c r="C1500" s="6"/>
      <c r="D1500" s="12"/>
      <c r="E1500" s="10" t="str">
        <f t="shared" si="116"/>
        <v/>
      </c>
      <c r="F1500" s="16"/>
      <c r="G1500" s="13"/>
      <c r="H1500" s="6"/>
      <c r="I1500" s="6"/>
      <c r="J1500" s="11" t="str">
        <f t="shared" si="117"/>
        <v/>
      </c>
      <c r="K1500" s="17" t="str">
        <f t="shared" si="118"/>
        <v/>
      </c>
      <c r="L1500" s="18" t="str">
        <f t="shared" si="119"/>
        <v/>
      </c>
      <c r="M1500" s="18" t="str">
        <f>IF(J1500&lt;&gt;-1,"",ROUND(F1500*IFERROR(INDEX(Stocuri!$G$5:$G$204,MATCH(D1500,Coduri,0)),0),2))</f>
        <v/>
      </c>
      <c r="N1500" s="19" t="str">
        <f t="shared" si="120"/>
        <v/>
      </c>
    </row>
    <row r="1501" spans="2:14" x14ac:dyDescent="0.2">
      <c r="B1501" s="15"/>
      <c r="C1501" s="6"/>
      <c r="D1501" s="12"/>
      <c r="E1501" s="10" t="str">
        <f t="shared" si="116"/>
        <v/>
      </c>
      <c r="F1501" s="16"/>
      <c r="G1501" s="13"/>
      <c r="H1501" s="6"/>
      <c r="I1501" s="6"/>
      <c r="J1501" s="11" t="str">
        <f t="shared" si="117"/>
        <v/>
      </c>
      <c r="K1501" s="17" t="str">
        <f t="shared" si="118"/>
        <v/>
      </c>
      <c r="L1501" s="18" t="str">
        <f t="shared" si="119"/>
        <v/>
      </c>
      <c r="M1501" s="18" t="str">
        <f>IF(J1501&lt;&gt;-1,"",ROUND(F1501*IFERROR(INDEX(Stocuri!$G$5:$G$204,MATCH(D1501,Coduri,0)),0),2))</f>
        <v/>
      </c>
      <c r="N1501" s="19" t="str">
        <f t="shared" si="120"/>
        <v/>
      </c>
    </row>
    <row r="1502" spans="2:14" x14ac:dyDescent="0.2">
      <c r="B1502" s="15"/>
      <c r="C1502" s="6"/>
      <c r="D1502" s="12"/>
      <c r="E1502" s="10" t="str">
        <f t="shared" si="116"/>
        <v/>
      </c>
      <c r="F1502" s="16"/>
      <c r="G1502" s="13"/>
      <c r="H1502" s="6"/>
      <c r="I1502" s="6"/>
      <c r="J1502" s="11" t="str">
        <f t="shared" si="117"/>
        <v/>
      </c>
      <c r="K1502" s="17" t="str">
        <f t="shared" si="118"/>
        <v/>
      </c>
      <c r="L1502" s="18" t="str">
        <f t="shared" si="119"/>
        <v/>
      </c>
      <c r="M1502" s="18" t="str">
        <f>IF(J1502&lt;&gt;-1,"",ROUND(F1502*IFERROR(INDEX(Stocuri!$G$5:$G$204,MATCH(D1502,Coduri,0)),0),2))</f>
        <v/>
      </c>
      <c r="N1502" s="19" t="str">
        <f t="shared" si="120"/>
        <v/>
      </c>
    </row>
    <row r="1503" spans="2:14" x14ac:dyDescent="0.2">
      <c r="B1503" s="15"/>
      <c r="C1503" s="6"/>
      <c r="D1503" s="12"/>
      <c r="E1503" s="10" t="str">
        <f t="shared" si="116"/>
        <v/>
      </c>
      <c r="F1503" s="16"/>
      <c r="G1503" s="13"/>
      <c r="H1503" s="6"/>
      <c r="I1503" s="6"/>
      <c r="J1503" s="11" t="str">
        <f t="shared" si="117"/>
        <v/>
      </c>
      <c r="K1503" s="17" t="str">
        <f t="shared" si="118"/>
        <v/>
      </c>
      <c r="L1503" s="18" t="str">
        <f t="shared" si="119"/>
        <v/>
      </c>
      <c r="M1503" s="18" t="str">
        <f>IF(J1503&lt;&gt;-1,"",ROUND(F1503*IFERROR(INDEX(Stocuri!$G$5:$G$204,MATCH(D1503,Coduri,0)),0),2))</f>
        <v/>
      </c>
      <c r="N1503" s="19" t="str">
        <f t="shared" si="120"/>
        <v/>
      </c>
    </row>
    <row r="1504" spans="2:14" x14ac:dyDescent="0.2">
      <c r="B1504" s="15"/>
      <c r="C1504" s="6"/>
      <c r="D1504" s="12"/>
      <c r="E1504" s="10" t="str">
        <f t="shared" si="116"/>
        <v/>
      </c>
      <c r="F1504" s="16"/>
      <c r="G1504" s="13"/>
      <c r="H1504" s="6"/>
      <c r="I1504" s="6"/>
      <c r="J1504" s="11" t="str">
        <f t="shared" si="117"/>
        <v/>
      </c>
      <c r="K1504" s="17" t="str">
        <f t="shared" si="118"/>
        <v/>
      </c>
      <c r="L1504" s="18" t="str">
        <f t="shared" si="119"/>
        <v/>
      </c>
      <c r="M1504" s="18" t="str">
        <f>IF(J1504&lt;&gt;-1,"",ROUND(F1504*IFERROR(INDEX(Stocuri!$G$5:$G$204,MATCH(D1504,Coduri,0)),0),2))</f>
        <v/>
      </c>
      <c r="N1504" s="19" t="str">
        <f t="shared" si="120"/>
        <v/>
      </c>
    </row>
    <row r="1505" spans="2:14" x14ac:dyDescent="0.2">
      <c r="B1505" s="15"/>
      <c r="C1505" s="6"/>
      <c r="D1505" s="12"/>
      <c r="E1505" s="10" t="str">
        <f t="shared" si="116"/>
        <v/>
      </c>
      <c r="F1505" s="16"/>
      <c r="G1505" s="13"/>
      <c r="H1505" s="6"/>
      <c r="I1505" s="6"/>
      <c r="J1505" s="11" t="str">
        <f t="shared" si="117"/>
        <v/>
      </c>
      <c r="K1505" s="17" t="str">
        <f t="shared" si="118"/>
        <v/>
      </c>
      <c r="L1505" s="18" t="str">
        <f t="shared" si="119"/>
        <v/>
      </c>
      <c r="M1505" s="18" t="str">
        <f>IF(J1505&lt;&gt;-1,"",ROUND(F1505*IFERROR(INDEX(Stocuri!$G$5:$G$204,MATCH(D1505,Coduri,0)),0),2))</f>
        <v/>
      </c>
      <c r="N1505" s="19" t="str">
        <f t="shared" si="120"/>
        <v/>
      </c>
    </row>
    <row r="1506" spans="2:14" x14ac:dyDescent="0.2">
      <c r="B1506" s="15"/>
      <c r="C1506" s="6"/>
      <c r="D1506" s="12"/>
      <c r="E1506" s="10" t="str">
        <f t="shared" si="116"/>
        <v/>
      </c>
      <c r="F1506" s="16"/>
      <c r="G1506" s="13"/>
      <c r="H1506" s="6"/>
      <c r="I1506" s="6"/>
      <c r="J1506" s="11" t="str">
        <f t="shared" si="117"/>
        <v/>
      </c>
      <c r="K1506" s="17" t="str">
        <f t="shared" si="118"/>
        <v/>
      </c>
      <c r="L1506" s="18" t="str">
        <f t="shared" si="119"/>
        <v/>
      </c>
      <c r="M1506" s="18" t="str">
        <f>IF(J1506&lt;&gt;-1,"",ROUND(F1506*IFERROR(INDEX(Stocuri!$G$5:$G$204,MATCH(D1506,Coduri,0)),0),2))</f>
        <v/>
      </c>
      <c r="N1506" s="19" t="str">
        <f t="shared" si="120"/>
        <v/>
      </c>
    </row>
    <row r="1507" spans="2:14" x14ac:dyDescent="0.2">
      <c r="B1507" s="15"/>
      <c r="C1507" s="6"/>
      <c r="D1507" s="12"/>
      <c r="E1507" s="10" t="str">
        <f t="shared" si="116"/>
        <v/>
      </c>
      <c r="F1507" s="16"/>
      <c r="G1507" s="13"/>
      <c r="H1507" s="6"/>
      <c r="I1507" s="6"/>
      <c r="J1507" s="11" t="str">
        <f t="shared" si="117"/>
        <v/>
      </c>
      <c r="K1507" s="17" t="str">
        <f t="shared" si="118"/>
        <v/>
      </c>
      <c r="L1507" s="18" t="str">
        <f t="shared" si="119"/>
        <v/>
      </c>
      <c r="M1507" s="18" t="str">
        <f>IF(J1507&lt;&gt;-1,"",ROUND(F1507*IFERROR(INDEX(Stocuri!$G$5:$G$204,MATCH(D1507,Coduri,0)),0),2))</f>
        <v/>
      </c>
      <c r="N1507" s="19" t="str">
        <f t="shared" si="120"/>
        <v/>
      </c>
    </row>
    <row r="1508" spans="2:14" x14ac:dyDescent="0.2">
      <c r="B1508" s="15"/>
      <c r="C1508" s="6"/>
      <c r="D1508" s="12"/>
      <c r="E1508" s="10" t="str">
        <f t="shared" si="116"/>
        <v/>
      </c>
      <c r="F1508" s="16"/>
      <c r="G1508" s="13"/>
      <c r="H1508" s="6"/>
      <c r="I1508" s="6"/>
      <c r="J1508" s="11" t="str">
        <f t="shared" si="117"/>
        <v/>
      </c>
      <c r="K1508" s="17" t="str">
        <f t="shared" si="118"/>
        <v/>
      </c>
      <c r="L1508" s="18" t="str">
        <f t="shared" si="119"/>
        <v/>
      </c>
      <c r="M1508" s="18" t="str">
        <f>IF(J1508&lt;&gt;-1,"",ROUND(F1508*IFERROR(INDEX(Stocuri!$G$5:$G$204,MATCH(D1508,Coduri,0)),0),2))</f>
        <v/>
      </c>
      <c r="N1508" s="19" t="str">
        <f t="shared" si="120"/>
        <v/>
      </c>
    </row>
    <row r="1509" spans="2:14" x14ac:dyDescent="0.2">
      <c r="B1509" s="15"/>
      <c r="C1509" s="6"/>
      <c r="D1509" s="12"/>
      <c r="E1509" s="10" t="str">
        <f t="shared" si="116"/>
        <v/>
      </c>
      <c r="F1509" s="16"/>
      <c r="G1509" s="13"/>
      <c r="H1509" s="6"/>
      <c r="I1509" s="6"/>
      <c r="J1509" s="11" t="str">
        <f t="shared" si="117"/>
        <v/>
      </c>
      <c r="K1509" s="17" t="str">
        <f t="shared" si="118"/>
        <v/>
      </c>
      <c r="L1509" s="18" t="str">
        <f t="shared" si="119"/>
        <v/>
      </c>
      <c r="M1509" s="18" t="str">
        <f>IF(J1509&lt;&gt;-1,"",ROUND(F1509*IFERROR(INDEX(Stocuri!$G$5:$G$204,MATCH(D1509,Coduri,0)),0),2))</f>
        <v/>
      </c>
      <c r="N1509" s="19" t="str">
        <f t="shared" si="120"/>
        <v/>
      </c>
    </row>
    <row r="1510" spans="2:14" x14ac:dyDescent="0.2">
      <c r="B1510" s="15"/>
      <c r="C1510" s="6"/>
      <c r="D1510" s="12"/>
      <c r="E1510" s="10" t="str">
        <f t="shared" si="116"/>
        <v/>
      </c>
      <c r="F1510" s="16"/>
      <c r="G1510" s="13"/>
      <c r="H1510" s="6"/>
      <c r="I1510" s="6"/>
      <c r="J1510" s="11" t="str">
        <f t="shared" si="117"/>
        <v/>
      </c>
      <c r="K1510" s="17" t="str">
        <f t="shared" si="118"/>
        <v/>
      </c>
      <c r="L1510" s="18" t="str">
        <f t="shared" si="119"/>
        <v/>
      </c>
      <c r="M1510" s="18" t="str">
        <f>IF(J1510&lt;&gt;-1,"",ROUND(F1510*IFERROR(INDEX(Stocuri!$G$5:$G$204,MATCH(D1510,Coduri,0)),0),2))</f>
        <v/>
      </c>
      <c r="N1510" s="19" t="str">
        <f t="shared" si="120"/>
        <v/>
      </c>
    </row>
    <row r="1511" spans="2:14" x14ac:dyDescent="0.2">
      <c r="B1511" s="15"/>
      <c r="C1511" s="6"/>
      <c r="D1511" s="12"/>
      <c r="E1511" s="10" t="str">
        <f t="shared" si="116"/>
        <v/>
      </c>
      <c r="F1511" s="16"/>
      <c r="G1511" s="13"/>
      <c r="H1511" s="6"/>
      <c r="I1511" s="6"/>
      <c r="J1511" s="11" t="str">
        <f t="shared" si="117"/>
        <v/>
      </c>
      <c r="K1511" s="17" t="str">
        <f t="shared" si="118"/>
        <v/>
      </c>
      <c r="L1511" s="18" t="str">
        <f t="shared" si="119"/>
        <v/>
      </c>
      <c r="M1511" s="18" t="str">
        <f>IF(J1511&lt;&gt;-1,"",ROUND(F1511*IFERROR(INDEX(Stocuri!$G$5:$G$204,MATCH(D1511,Coduri,0)),0),2))</f>
        <v/>
      </c>
      <c r="N1511" s="19" t="str">
        <f t="shared" si="120"/>
        <v/>
      </c>
    </row>
    <row r="1512" spans="2:14" x14ac:dyDescent="0.2">
      <c r="B1512" s="15"/>
      <c r="C1512" s="6"/>
      <c r="D1512" s="12"/>
      <c r="E1512" s="10" t="str">
        <f t="shared" si="116"/>
        <v/>
      </c>
      <c r="F1512" s="16"/>
      <c r="G1512" s="13"/>
      <c r="H1512" s="6"/>
      <c r="I1512" s="6"/>
      <c r="J1512" s="11" t="str">
        <f t="shared" si="117"/>
        <v/>
      </c>
      <c r="K1512" s="17" t="str">
        <f t="shared" si="118"/>
        <v/>
      </c>
      <c r="L1512" s="18" t="str">
        <f t="shared" si="119"/>
        <v/>
      </c>
      <c r="M1512" s="18" t="str">
        <f>IF(J1512&lt;&gt;-1,"",ROUND(F1512*IFERROR(INDEX(Stocuri!$G$5:$G$204,MATCH(D1512,Coduri,0)),0),2))</f>
        <v/>
      </c>
      <c r="N1512" s="19" t="str">
        <f t="shared" si="120"/>
        <v/>
      </c>
    </row>
    <row r="1513" spans="2:14" x14ac:dyDescent="0.2">
      <c r="B1513" s="15"/>
      <c r="C1513" s="6"/>
      <c r="D1513" s="12"/>
      <c r="E1513" s="10" t="str">
        <f t="shared" si="116"/>
        <v/>
      </c>
      <c r="F1513" s="16"/>
      <c r="G1513" s="13"/>
      <c r="H1513" s="6"/>
      <c r="I1513" s="6"/>
      <c r="J1513" s="11" t="str">
        <f t="shared" si="117"/>
        <v/>
      </c>
      <c r="K1513" s="17" t="str">
        <f t="shared" si="118"/>
        <v/>
      </c>
      <c r="L1513" s="18" t="str">
        <f t="shared" si="119"/>
        <v/>
      </c>
      <c r="M1513" s="18" t="str">
        <f>IF(J1513&lt;&gt;-1,"",ROUND(F1513*IFERROR(INDEX(Stocuri!$G$5:$G$204,MATCH(D1513,Coduri,0)),0),2))</f>
        <v/>
      </c>
      <c r="N1513" s="19" t="str">
        <f t="shared" si="120"/>
        <v/>
      </c>
    </row>
    <row r="1514" spans="2:14" x14ac:dyDescent="0.2">
      <c r="B1514" s="15"/>
      <c r="C1514" s="6"/>
      <c r="D1514" s="12"/>
      <c r="E1514" s="10" t="str">
        <f t="shared" si="116"/>
        <v/>
      </c>
      <c r="F1514" s="16"/>
      <c r="G1514" s="13"/>
      <c r="H1514" s="6"/>
      <c r="I1514" s="6"/>
      <c r="J1514" s="11" t="str">
        <f t="shared" si="117"/>
        <v/>
      </c>
      <c r="K1514" s="17" t="str">
        <f t="shared" si="118"/>
        <v/>
      </c>
      <c r="L1514" s="18" t="str">
        <f t="shared" si="119"/>
        <v/>
      </c>
      <c r="M1514" s="18" t="str">
        <f>IF(J1514&lt;&gt;-1,"",ROUND(F1514*IFERROR(INDEX(Stocuri!$G$5:$G$204,MATCH(D1514,Coduri,0)),0),2))</f>
        <v/>
      </c>
      <c r="N1514" s="19" t="str">
        <f t="shared" si="120"/>
        <v/>
      </c>
    </row>
    <row r="1515" spans="2:14" x14ac:dyDescent="0.2">
      <c r="B1515" s="15"/>
      <c r="C1515" s="6"/>
      <c r="D1515" s="12"/>
      <c r="E1515" s="10" t="str">
        <f t="shared" si="116"/>
        <v/>
      </c>
      <c r="F1515" s="16"/>
      <c r="G1515" s="13"/>
      <c r="H1515" s="6"/>
      <c r="I1515" s="6"/>
      <c r="J1515" s="11" t="str">
        <f t="shared" si="117"/>
        <v/>
      </c>
      <c r="K1515" s="17" t="str">
        <f t="shared" si="118"/>
        <v/>
      </c>
      <c r="L1515" s="18" t="str">
        <f t="shared" si="119"/>
        <v/>
      </c>
      <c r="M1515" s="18" t="str">
        <f>IF(J1515&lt;&gt;-1,"",ROUND(F1515*IFERROR(INDEX(Stocuri!$G$5:$G$204,MATCH(D1515,Coduri,0)),0),2))</f>
        <v/>
      </c>
      <c r="N1515" s="19" t="str">
        <f t="shared" si="120"/>
        <v/>
      </c>
    </row>
    <row r="1516" spans="2:14" x14ac:dyDescent="0.2">
      <c r="B1516" s="15"/>
      <c r="C1516" s="6"/>
      <c r="D1516" s="12"/>
      <c r="E1516" s="10" t="str">
        <f t="shared" si="116"/>
        <v/>
      </c>
      <c r="F1516" s="16"/>
      <c r="G1516" s="13"/>
      <c r="H1516" s="6"/>
      <c r="I1516" s="6"/>
      <c r="J1516" s="11" t="str">
        <f t="shared" si="117"/>
        <v/>
      </c>
      <c r="K1516" s="17" t="str">
        <f t="shared" si="118"/>
        <v/>
      </c>
      <c r="L1516" s="18" t="str">
        <f t="shared" si="119"/>
        <v/>
      </c>
      <c r="M1516" s="18" t="str">
        <f>IF(J1516&lt;&gt;-1,"",ROUND(F1516*IFERROR(INDEX(Stocuri!$G$5:$G$204,MATCH(D1516,Coduri,0)),0),2))</f>
        <v/>
      </c>
      <c r="N1516" s="19" t="str">
        <f t="shared" si="120"/>
        <v/>
      </c>
    </row>
    <row r="1517" spans="2:14" x14ac:dyDescent="0.2">
      <c r="B1517" s="15"/>
      <c r="C1517" s="6"/>
      <c r="D1517" s="12"/>
      <c r="E1517" s="10" t="str">
        <f t="shared" si="116"/>
        <v/>
      </c>
      <c r="F1517" s="16"/>
      <c r="G1517" s="13"/>
      <c r="H1517" s="6"/>
      <c r="I1517" s="6"/>
      <c r="J1517" s="11" t="str">
        <f t="shared" si="117"/>
        <v/>
      </c>
      <c r="K1517" s="17" t="str">
        <f t="shared" si="118"/>
        <v/>
      </c>
      <c r="L1517" s="18" t="str">
        <f t="shared" si="119"/>
        <v/>
      </c>
      <c r="M1517" s="18" t="str">
        <f>IF(J1517&lt;&gt;-1,"",ROUND(F1517*IFERROR(INDEX(Stocuri!$G$5:$G$204,MATCH(D1517,Coduri,0)),0),2))</f>
        <v/>
      </c>
      <c r="N1517" s="19" t="str">
        <f t="shared" si="120"/>
        <v/>
      </c>
    </row>
    <row r="1518" spans="2:14" x14ac:dyDescent="0.2">
      <c r="B1518" s="15"/>
      <c r="C1518" s="6"/>
      <c r="D1518" s="12"/>
      <c r="E1518" s="10" t="str">
        <f t="shared" si="116"/>
        <v/>
      </c>
      <c r="F1518" s="16"/>
      <c r="G1518" s="13"/>
      <c r="H1518" s="6"/>
      <c r="I1518" s="6"/>
      <c r="J1518" s="11" t="str">
        <f t="shared" si="117"/>
        <v/>
      </c>
      <c r="K1518" s="17" t="str">
        <f t="shared" si="118"/>
        <v/>
      </c>
      <c r="L1518" s="18" t="str">
        <f t="shared" si="119"/>
        <v/>
      </c>
      <c r="M1518" s="18" t="str">
        <f>IF(J1518&lt;&gt;-1,"",ROUND(F1518*IFERROR(INDEX(Stocuri!$G$5:$G$204,MATCH(D1518,Coduri,0)),0),2))</f>
        <v/>
      </c>
      <c r="N1518" s="19" t="str">
        <f t="shared" si="120"/>
        <v/>
      </c>
    </row>
    <row r="1519" spans="2:14" x14ac:dyDescent="0.2">
      <c r="B1519" s="15"/>
      <c r="C1519" s="6"/>
      <c r="D1519" s="12"/>
      <c r="E1519" s="10" t="str">
        <f t="shared" si="116"/>
        <v/>
      </c>
      <c r="F1519" s="16"/>
      <c r="G1519" s="13"/>
      <c r="H1519" s="6"/>
      <c r="I1519" s="6"/>
      <c r="J1519" s="11" t="str">
        <f t="shared" si="117"/>
        <v/>
      </c>
      <c r="K1519" s="17" t="str">
        <f t="shared" si="118"/>
        <v/>
      </c>
      <c r="L1519" s="18" t="str">
        <f t="shared" si="119"/>
        <v/>
      </c>
      <c r="M1519" s="18" t="str">
        <f>IF(J1519&lt;&gt;-1,"",ROUND(F1519*IFERROR(INDEX(Stocuri!$G$5:$G$204,MATCH(D1519,Coduri,0)),0),2))</f>
        <v/>
      </c>
      <c r="N1519" s="19" t="str">
        <f t="shared" si="120"/>
        <v/>
      </c>
    </row>
    <row r="1520" spans="2:14" x14ac:dyDescent="0.2">
      <c r="B1520" s="15"/>
      <c r="C1520" s="6"/>
      <c r="D1520" s="12"/>
      <c r="E1520" s="10" t="str">
        <f t="shared" si="116"/>
        <v/>
      </c>
      <c r="F1520" s="16"/>
      <c r="G1520" s="13"/>
      <c r="H1520" s="6"/>
      <c r="I1520" s="6"/>
      <c r="J1520" s="11" t="str">
        <f t="shared" si="117"/>
        <v/>
      </c>
      <c r="K1520" s="17" t="str">
        <f t="shared" si="118"/>
        <v/>
      </c>
      <c r="L1520" s="18" t="str">
        <f t="shared" si="119"/>
        <v/>
      </c>
      <c r="M1520" s="18" t="str">
        <f>IF(J1520&lt;&gt;-1,"",ROUND(F1520*IFERROR(INDEX(Stocuri!$G$5:$G$204,MATCH(D1520,Coduri,0)),0),2))</f>
        <v/>
      </c>
      <c r="N1520" s="19" t="str">
        <f t="shared" si="120"/>
        <v/>
      </c>
    </row>
    <row r="1521" spans="2:14" x14ac:dyDescent="0.2">
      <c r="B1521" s="15"/>
      <c r="C1521" s="6"/>
      <c r="D1521" s="12"/>
      <c r="E1521" s="10" t="str">
        <f t="shared" si="116"/>
        <v/>
      </c>
      <c r="F1521" s="16"/>
      <c r="G1521" s="13"/>
      <c r="H1521" s="6"/>
      <c r="I1521" s="6"/>
      <c r="J1521" s="11" t="str">
        <f t="shared" si="117"/>
        <v/>
      </c>
      <c r="K1521" s="17" t="str">
        <f t="shared" si="118"/>
        <v/>
      </c>
      <c r="L1521" s="18" t="str">
        <f t="shared" si="119"/>
        <v/>
      </c>
      <c r="M1521" s="18" t="str">
        <f>IF(J1521&lt;&gt;-1,"",ROUND(F1521*IFERROR(INDEX(Stocuri!$G$5:$G$204,MATCH(D1521,Coduri,0)),0),2))</f>
        <v/>
      </c>
      <c r="N1521" s="19" t="str">
        <f t="shared" si="120"/>
        <v/>
      </c>
    </row>
    <row r="1522" spans="2:14" x14ac:dyDescent="0.2">
      <c r="B1522" s="15"/>
      <c r="C1522" s="6"/>
      <c r="D1522" s="12"/>
      <c r="E1522" s="10" t="str">
        <f t="shared" si="116"/>
        <v/>
      </c>
      <c r="F1522" s="16"/>
      <c r="G1522" s="13"/>
      <c r="H1522" s="6"/>
      <c r="I1522" s="6"/>
      <c r="J1522" s="11" t="str">
        <f t="shared" si="117"/>
        <v/>
      </c>
      <c r="K1522" s="17" t="str">
        <f t="shared" si="118"/>
        <v/>
      </c>
      <c r="L1522" s="18" t="str">
        <f t="shared" si="119"/>
        <v/>
      </c>
      <c r="M1522" s="18" t="str">
        <f>IF(J1522&lt;&gt;-1,"",ROUND(F1522*IFERROR(INDEX(Stocuri!$G$5:$G$204,MATCH(D1522,Coduri,0)),0),2))</f>
        <v/>
      </c>
      <c r="N1522" s="19" t="str">
        <f t="shared" si="120"/>
        <v/>
      </c>
    </row>
    <row r="1523" spans="2:14" x14ac:dyDescent="0.2">
      <c r="B1523" s="15"/>
      <c r="C1523" s="6"/>
      <c r="D1523" s="12"/>
      <c r="E1523" s="10" t="str">
        <f t="shared" si="116"/>
        <v/>
      </c>
      <c r="F1523" s="16"/>
      <c r="G1523" s="13"/>
      <c r="H1523" s="6"/>
      <c r="I1523" s="6"/>
      <c r="J1523" s="11" t="str">
        <f t="shared" si="117"/>
        <v/>
      </c>
      <c r="K1523" s="17" t="str">
        <f t="shared" si="118"/>
        <v/>
      </c>
      <c r="L1523" s="18" t="str">
        <f t="shared" si="119"/>
        <v/>
      </c>
      <c r="M1523" s="18" t="str">
        <f>IF(J1523&lt;&gt;-1,"",ROUND(F1523*IFERROR(INDEX(Stocuri!$G$5:$G$204,MATCH(D1523,Coduri,0)),0),2))</f>
        <v/>
      </c>
      <c r="N1523" s="19" t="str">
        <f t="shared" si="120"/>
        <v/>
      </c>
    </row>
    <row r="1524" spans="2:14" x14ac:dyDescent="0.2">
      <c r="B1524" s="15"/>
      <c r="C1524" s="6"/>
      <c r="D1524" s="12"/>
      <c r="E1524" s="10" t="str">
        <f t="shared" si="116"/>
        <v/>
      </c>
      <c r="F1524" s="16"/>
      <c r="G1524" s="13"/>
      <c r="H1524" s="6"/>
      <c r="I1524" s="6"/>
      <c r="J1524" s="11" t="str">
        <f t="shared" si="117"/>
        <v/>
      </c>
      <c r="K1524" s="17" t="str">
        <f t="shared" si="118"/>
        <v/>
      </c>
      <c r="L1524" s="18" t="str">
        <f t="shared" si="119"/>
        <v/>
      </c>
      <c r="M1524" s="18" t="str">
        <f>IF(J1524&lt;&gt;-1,"",ROUND(F1524*IFERROR(INDEX(Stocuri!$G$5:$G$204,MATCH(D1524,Coduri,0)),0),2))</f>
        <v/>
      </c>
      <c r="N1524" s="19" t="str">
        <f t="shared" si="120"/>
        <v/>
      </c>
    </row>
    <row r="1525" spans="2:14" x14ac:dyDescent="0.2">
      <c r="B1525" s="15"/>
      <c r="C1525" s="6"/>
      <c r="D1525" s="12"/>
      <c r="E1525" s="10" t="str">
        <f t="shared" si="116"/>
        <v/>
      </c>
      <c r="F1525" s="16"/>
      <c r="G1525" s="13"/>
      <c r="H1525" s="6"/>
      <c r="I1525" s="6"/>
      <c r="J1525" s="11" t="str">
        <f t="shared" si="117"/>
        <v/>
      </c>
      <c r="K1525" s="17" t="str">
        <f t="shared" si="118"/>
        <v/>
      </c>
      <c r="L1525" s="18" t="str">
        <f t="shared" si="119"/>
        <v/>
      </c>
      <c r="M1525" s="18" t="str">
        <f>IF(J1525&lt;&gt;-1,"",ROUND(F1525*IFERROR(INDEX(Stocuri!$G$5:$G$204,MATCH(D1525,Coduri,0)),0),2))</f>
        <v/>
      </c>
      <c r="N1525" s="19" t="str">
        <f t="shared" si="120"/>
        <v/>
      </c>
    </row>
    <row r="1526" spans="2:14" x14ac:dyDescent="0.2">
      <c r="B1526" s="15"/>
      <c r="C1526" s="6"/>
      <c r="D1526" s="12"/>
      <c r="E1526" s="10" t="str">
        <f t="shared" si="116"/>
        <v/>
      </c>
      <c r="F1526" s="16"/>
      <c r="G1526" s="13"/>
      <c r="H1526" s="6"/>
      <c r="I1526" s="6"/>
      <c r="J1526" s="11" t="str">
        <f t="shared" si="117"/>
        <v/>
      </c>
      <c r="K1526" s="17" t="str">
        <f t="shared" si="118"/>
        <v/>
      </c>
      <c r="L1526" s="18" t="str">
        <f t="shared" si="119"/>
        <v/>
      </c>
      <c r="M1526" s="18" t="str">
        <f>IF(J1526&lt;&gt;-1,"",ROUND(F1526*IFERROR(INDEX(Stocuri!$G$5:$G$204,MATCH(D1526,Coduri,0)),0),2))</f>
        <v/>
      </c>
      <c r="N1526" s="19" t="str">
        <f t="shared" si="120"/>
        <v/>
      </c>
    </row>
    <row r="1527" spans="2:14" x14ac:dyDescent="0.2">
      <c r="B1527" s="15"/>
      <c r="C1527" s="6"/>
      <c r="D1527" s="12"/>
      <c r="E1527" s="10" t="str">
        <f t="shared" si="116"/>
        <v/>
      </c>
      <c r="F1527" s="16"/>
      <c r="G1527" s="13"/>
      <c r="H1527" s="6"/>
      <c r="I1527" s="6"/>
      <c r="J1527" s="11" t="str">
        <f t="shared" si="117"/>
        <v/>
      </c>
      <c r="K1527" s="17" t="str">
        <f t="shared" si="118"/>
        <v/>
      </c>
      <c r="L1527" s="18" t="str">
        <f t="shared" si="119"/>
        <v/>
      </c>
      <c r="M1527" s="18" t="str">
        <f>IF(J1527&lt;&gt;-1,"",ROUND(F1527*IFERROR(INDEX(Stocuri!$G$5:$G$204,MATCH(D1527,Coduri,0)),0),2))</f>
        <v/>
      </c>
      <c r="N1527" s="19" t="str">
        <f t="shared" si="120"/>
        <v/>
      </c>
    </row>
    <row r="1528" spans="2:14" x14ac:dyDescent="0.2">
      <c r="B1528" s="15"/>
      <c r="C1528" s="6"/>
      <c r="D1528" s="12"/>
      <c r="E1528" s="10" t="str">
        <f t="shared" si="116"/>
        <v/>
      </c>
      <c r="F1528" s="16"/>
      <c r="G1528" s="13"/>
      <c r="H1528" s="6"/>
      <c r="I1528" s="6"/>
      <c r="J1528" s="11" t="str">
        <f t="shared" si="117"/>
        <v/>
      </c>
      <c r="K1528" s="17" t="str">
        <f t="shared" si="118"/>
        <v/>
      </c>
      <c r="L1528" s="18" t="str">
        <f t="shared" si="119"/>
        <v/>
      </c>
      <c r="M1528" s="18" t="str">
        <f>IF(J1528&lt;&gt;-1,"",ROUND(F1528*IFERROR(INDEX(Stocuri!$G$5:$G$204,MATCH(D1528,Coduri,0)),0),2))</f>
        <v/>
      </c>
      <c r="N1528" s="19" t="str">
        <f t="shared" si="120"/>
        <v/>
      </c>
    </row>
    <row r="1529" spans="2:14" x14ac:dyDescent="0.2">
      <c r="B1529" s="15"/>
      <c r="C1529" s="6"/>
      <c r="D1529" s="12"/>
      <c r="E1529" s="10" t="str">
        <f t="shared" si="116"/>
        <v/>
      </c>
      <c r="F1529" s="16"/>
      <c r="G1529" s="13"/>
      <c r="H1529" s="6"/>
      <c r="I1529" s="6"/>
      <c r="J1529" s="11" t="str">
        <f t="shared" si="117"/>
        <v/>
      </c>
      <c r="K1529" s="17" t="str">
        <f t="shared" si="118"/>
        <v/>
      </c>
      <c r="L1529" s="18" t="str">
        <f t="shared" si="119"/>
        <v/>
      </c>
      <c r="M1529" s="18" t="str">
        <f>IF(J1529&lt;&gt;-1,"",ROUND(F1529*IFERROR(INDEX(Stocuri!$G$5:$G$204,MATCH(D1529,Coduri,0)),0),2))</f>
        <v/>
      </c>
      <c r="N1529" s="19" t="str">
        <f t="shared" si="120"/>
        <v/>
      </c>
    </row>
    <row r="1530" spans="2:14" x14ac:dyDescent="0.2">
      <c r="B1530" s="15"/>
      <c r="C1530" s="6"/>
      <c r="D1530" s="12"/>
      <c r="E1530" s="10" t="str">
        <f t="shared" si="116"/>
        <v/>
      </c>
      <c r="F1530" s="16"/>
      <c r="G1530" s="13"/>
      <c r="H1530" s="6"/>
      <c r="I1530" s="6"/>
      <c r="J1530" s="11" t="str">
        <f t="shared" si="117"/>
        <v/>
      </c>
      <c r="K1530" s="17" t="str">
        <f t="shared" si="118"/>
        <v/>
      </c>
      <c r="L1530" s="18" t="str">
        <f t="shared" si="119"/>
        <v/>
      </c>
      <c r="M1530" s="18" t="str">
        <f>IF(J1530&lt;&gt;-1,"",ROUND(F1530*IFERROR(INDEX(Stocuri!$G$5:$G$204,MATCH(D1530,Coduri,0)),0),2))</f>
        <v/>
      </c>
      <c r="N1530" s="19" t="str">
        <f t="shared" si="120"/>
        <v/>
      </c>
    </row>
    <row r="1531" spans="2:14" x14ac:dyDescent="0.2">
      <c r="B1531" s="15"/>
      <c r="C1531" s="6"/>
      <c r="D1531" s="12"/>
      <c r="E1531" s="10" t="str">
        <f t="shared" si="116"/>
        <v/>
      </c>
      <c r="F1531" s="16"/>
      <c r="G1531" s="13"/>
      <c r="H1531" s="6"/>
      <c r="I1531" s="6"/>
      <c r="J1531" s="11" t="str">
        <f t="shared" si="117"/>
        <v/>
      </c>
      <c r="K1531" s="17" t="str">
        <f t="shared" si="118"/>
        <v/>
      </c>
      <c r="L1531" s="18" t="str">
        <f t="shared" si="119"/>
        <v/>
      </c>
      <c r="M1531" s="18" t="str">
        <f>IF(J1531&lt;&gt;-1,"",ROUND(F1531*IFERROR(INDEX(Stocuri!$G$5:$G$204,MATCH(D1531,Coduri,0)),0),2))</f>
        <v/>
      </c>
      <c r="N1531" s="19" t="str">
        <f t="shared" si="120"/>
        <v/>
      </c>
    </row>
    <row r="1532" spans="2:14" x14ac:dyDescent="0.2">
      <c r="B1532" s="15"/>
      <c r="C1532" s="6"/>
      <c r="D1532" s="12"/>
      <c r="E1532" s="10" t="str">
        <f t="shared" si="116"/>
        <v/>
      </c>
      <c r="F1532" s="16"/>
      <c r="G1532" s="13"/>
      <c r="H1532" s="6"/>
      <c r="I1532" s="6"/>
      <c r="J1532" s="11" t="str">
        <f t="shared" si="117"/>
        <v/>
      </c>
      <c r="K1532" s="17" t="str">
        <f t="shared" si="118"/>
        <v/>
      </c>
      <c r="L1532" s="18" t="str">
        <f t="shared" si="119"/>
        <v/>
      </c>
      <c r="M1532" s="18" t="str">
        <f>IF(J1532&lt;&gt;-1,"",ROUND(F1532*IFERROR(INDEX(Stocuri!$G$5:$G$204,MATCH(D1532,Coduri,0)),0),2))</f>
        <v/>
      </c>
      <c r="N1532" s="19" t="str">
        <f t="shared" si="120"/>
        <v/>
      </c>
    </row>
    <row r="1533" spans="2:14" x14ac:dyDescent="0.2">
      <c r="B1533" s="15"/>
      <c r="C1533" s="6"/>
      <c r="D1533" s="12"/>
      <c r="E1533" s="10" t="str">
        <f t="shared" si="116"/>
        <v/>
      </c>
      <c r="F1533" s="16"/>
      <c r="G1533" s="13"/>
      <c r="H1533" s="6"/>
      <c r="I1533" s="6"/>
      <c r="J1533" s="11" t="str">
        <f t="shared" si="117"/>
        <v/>
      </c>
      <c r="K1533" s="17" t="str">
        <f t="shared" si="118"/>
        <v/>
      </c>
      <c r="L1533" s="18" t="str">
        <f t="shared" si="119"/>
        <v/>
      </c>
      <c r="M1533" s="18" t="str">
        <f>IF(J1533&lt;&gt;-1,"",ROUND(F1533*IFERROR(INDEX(Stocuri!$G$5:$G$204,MATCH(D1533,Coduri,0)),0),2))</f>
        <v/>
      </c>
      <c r="N1533" s="19" t="str">
        <f t="shared" si="120"/>
        <v/>
      </c>
    </row>
    <row r="1534" spans="2:14" x14ac:dyDescent="0.2">
      <c r="B1534" s="15"/>
      <c r="C1534" s="6"/>
      <c r="D1534" s="12"/>
      <c r="E1534" s="10" t="str">
        <f t="shared" si="116"/>
        <v/>
      </c>
      <c r="F1534" s="16"/>
      <c r="G1534" s="13"/>
      <c r="H1534" s="6"/>
      <c r="I1534" s="6"/>
      <c r="J1534" s="11" t="str">
        <f t="shared" si="117"/>
        <v/>
      </c>
      <c r="K1534" s="17" t="str">
        <f t="shared" si="118"/>
        <v/>
      </c>
      <c r="L1534" s="18" t="str">
        <f t="shared" si="119"/>
        <v/>
      </c>
      <c r="M1534" s="18" t="str">
        <f>IF(J1534&lt;&gt;-1,"",ROUND(F1534*IFERROR(INDEX(Stocuri!$G$5:$G$204,MATCH(D1534,Coduri,0)),0),2))</f>
        <v/>
      </c>
      <c r="N1534" s="19" t="str">
        <f t="shared" si="120"/>
        <v/>
      </c>
    </row>
    <row r="1535" spans="2:14" x14ac:dyDescent="0.2">
      <c r="B1535" s="15"/>
      <c r="C1535" s="6"/>
      <c r="D1535" s="12"/>
      <c r="E1535" s="10" t="str">
        <f t="shared" si="116"/>
        <v/>
      </c>
      <c r="F1535" s="16"/>
      <c r="G1535" s="13"/>
      <c r="H1535" s="6"/>
      <c r="I1535" s="6"/>
      <c r="J1535" s="11" t="str">
        <f t="shared" si="117"/>
        <v/>
      </c>
      <c r="K1535" s="17" t="str">
        <f t="shared" si="118"/>
        <v/>
      </c>
      <c r="L1535" s="18" t="str">
        <f t="shared" si="119"/>
        <v/>
      </c>
      <c r="M1535" s="18" t="str">
        <f>IF(J1535&lt;&gt;-1,"",ROUND(F1535*IFERROR(INDEX(Stocuri!$G$5:$G$204,MATCH(D1535,Coduri,0)),0),2))</f>
        <v/>
      </c>
      <c r="N1535" s="19" t="str">
        <f t="shared" si="120"/>
        <v/>
      </c>
    </row>
    <row r="1536" spans="2:14" x14ac:dyDescent="0.2">
      <c r="B1536" s="15"/>
      <c r="C1536" s="6"/>
      <c r="D1536" s="12"/>
      <c r="E1536" s="10" t="str">
        <f t="shared" si="116"/>
        <v/>
      </c>
      <c r="F1536" s="16"/>
      <c r="G1536" s="13"/>
      <c r="H1536" s="6"/>
      <c r="I1536" s="6"/>
      <c r="J1536" s="11" t="str">
        <f t="shared" si="117"/>
        <v/>
      </c>
      <c r="K1536" s="17" t="str">
        <f t="shared" si="118"/>
        <v/>
      </c>
      <c r="L1536" s="18" t="str">
        <f t="shared" si="119"/>
        <v/>
      </c>
      <c r="M1536" s="18" t="str">
        <f>IF(J1536&lt;&gt;-1,"",ROUND(F1536*IFERROR(INDEX(Stocuri!$G$5:$G$204,MATCH(D1536,Coduri,0)),0),2))</f>
        <v/>
      </c>
      <c r="N1536" s="19" t="str">
        <f t="shared" si="120"/>
        <v/>
      </c>
    </row>
    <row r="1537" spans="2:14" x14ac:dyDescent="0.2">
      <c r="B1537" s="15"/>
      <c r="C1537" s="6"/>
      <c r="D1537" s="12"/>
      <c r="E1537" s="10" t="str">
        <f t="shared" si="116"/>
        <v/>
      </c>
      <c r="F1537" s="16"/>
      <c r="G1537" s="13"/>
      <c r="H1537" s="6"/>
      <c r="I1537" s="6"/>
      <c r="J1537" s="11" t="str">
        <f t="shared" si="117"/>
        <v/>
      </c>
      <c r="K1537" s="17" t="str">
        <f t="shared" si="118"/>
        <v/>
      </c>
      <c r="L1537" s="18" t="str">
        <f t="shared" si="119"/>
        <v/>
      </c>
      <c r="M1537" s="18" t="str">
        <f>IF(J1537&lt;&gt;-1,"",ROUND(F1537*IFERROR(INDEX(Stocuri!$G$5:$G$204,MATCH(D1537,Coduri,0)),0),2))</f>
        <v/>
      </c>
      <c r="N1537" s="19" t="str">
        <f t="shared" si="120"/>
        <v/>
      </c>
    </row>
    <row r="1538" spans="2:14" x14ac:dyDescent="0.2">
      <c r="B1538" s="15"/>
      <c r="C1538" s="6"/>
      <c r="D1538" s="12"/>
      <c r="E1538" s="10" t="str">
        <f t="shared" si="116"/>
        <v/>
      </c>
      <c r="F1538" s="16"/>
      <c r="G1538" s="13"/>
      <c r="H1538" s="6"/>
      <c r="I1538" s="6"/>
      <c r="J1538" s="11" t="str">
        <f t="shared" si="117"/>
        <v/>
      </c>
      <c r="K1538" s="17" t="str">
        <f t="shared" si="118"/>
        <v/>
      </c>
      <c r="L1538" s="18" t="str">
        <f t="shared" si="119"/>
        <v/>
      </c>
      <c r="M1538" s="18" t="str">
        <f>IF(J1538&lt;&gt;-1,"",ROUND(F1538*IFERROR(INDEX(Stocuri!$G$5:$G$204,MATCH(D1538,Coduri,0)),0),2))</f>
        <v/>
      </c>
      <c r="N1538" s="19" t="str">
        <f t="shared" si="120"/>
        <v/>
      </c>
    </row>
    <row r="1539" spans="2:14" x14ac:dyDescent="0.2">
      <c r="B1539" s="15"/>
      <c r="C1539" s="6"/>
      <c r="D1539" s="12"/>
      <c r="E1539" s="10" t="str">
        <f t="shared" si="116"/>
        <v/>
      </c>
      <c r="F1539" s="16"/>
      <c r="G1539" s="13"/>
      <c r="H1539" s="6"/>
      <c r="I1539" s="6"/>
      <c r="J1539" s="11" t="str">
        <f t="shared" si="117"/>
        <v/>
      </c>
      <c r="K1539" s="17" t="str">
        <f t="shared" si="118"/>
        <v/>
      </c>
      <c r="L1539" s="18" t="str">
        <f t="shared" si="119"/>
        <v/>
      </c>
      <c r="M1539" s="18" t="str">
        <f>IF(J1539&lt;&gt;-1,"",ROUND(F1539*IFERROR(INDEX(Stocuri!$G$5:$G$204,MATCH(D1539,Coduri,0)),0),2))</f>
        <v/>
      </c>
      <c r="N1539" s="19" t="str">
        <f t="shared" si="120"/>
        <v/>
      </c>
    </row>
    <row r="1540" spans="2:14" x14ac:dyDescent="0.2">
      <c r="B1540" s="15"/>
      <c r="C1540" s="6"/>
      <c r="D1540" s="12"/>
      <c r="E1540" s="10" t="str">
        <f t="shared" si="116"/>
        <v/>
      </c>
      <c r="F1540" s="16"/>
      <c r="G1540" s="13"/>
      <c r="H1540" s="6"/>
      <c r="I1540" s="6"/>
      <c r="J1540" s="11" t="str">
        <f t="shared" si="117"/>
        <v/>
      </c>
      <c r="K1540" s="17" t="str">
        <f t="shared" si="118"/>
        <v/>
      </c>
      <c r="L1540" s="18" t="str">
        <f t="shared" si="119"/>
        <v/>
      </c>
      <c r="M1540" s="18" t="str">
        <f>IF(J1540&lt;&gt;-1,"",ROUND(F1540*IFERROR(INDEX(Stocuri!$G$5:$G$204,MATCH(D1540,Coduri,0)),0),2))</f>
        <v/>
      </c>
      <c r="N1540" s="19" t="str">
        <f t="shared" si="120"/>
        <v/>
      </c>
    </row>
    <row r="1541" spans="2:14" x14ac:dyDescent="0.2">
      <c r="B1541" s="15"/>
      <c r="C1541" s="6"/>
      <c r="D1541" s="12"/>
      <c r="E1541" s="10" t="str">
        <f t="shared" ref="E1541:E1604" si="121">IF(D1541="","",IFERROR(VLOOKUP(D1541,Catalog,2,FALSE),""))</f>
        <v/>
      </c>
      <c r="F1541" s="16"/>
      <c r="G1541" s="13"/>
      <c r="H1541" s="6"/>
      <c r="I1541" s="6"/>
      <c r="J1541" s="11" t="str">
        <f t="shared" ref="J1541:J1604" si="122">IF(C1541="","",IFERROR(VLOOKUP(C1541,TipSemn,2,FALSE),""))</f>
        <v/>
      </c>
      <c r="K1541" s="17" t="str">
        <f t="shared" ref="K1541:K1604" si="123">IF(OR(J1541="",F1541=""),"",J1541*F1541)</f>
        <v/>
      </c>
      <c r="L1541" s="18" t="str">
        <f t="shared" ref="L1541:L1604" si="124">IF(OR(J1541&lt;&gt;1,G1541=""),"",ROUND(F1541*G1541,2))</f>
        <v/>
      </c>
      <c r="M1541" s="18" t="str">
        <f>IF(J1541&lt;&gt;-1,"",ROUND(F1541*IFERROR(INDEX(Stocuri!$G$5:$G$204,MATCH(D1541,Coduri,0)),0),2))</f>
        <v/>
      </c>
      <c r="N1541" s="19" t="str">
        <f t="shared" ref="N1541:N1604" si="125">IF(AND(B1541="",D1541=""),"",TRIM(IF(OR(B1541="",C1541="",D1541="",F1541=""),"Date incomplete. ","")&amp;IF(AND(D1541&lt;&gt;"",E1541=""),"Cod necunoscut. ","")&amp;IF(AND(J1541=1,C1541&lt;&gt;"Retur de la client",C1541&lt;&gt;"Ajustare inventar +",G1541=""),"Lipsește prețul de intrare. ","")&amp;IF(AND(J1541=-1,D1541&lt;&gt;"",SUMIFS($K$5:$K$2004,$D$5:$D$2004,D1541,$B$5:$B$2004,"&lt;="&amp;B1541)&lt;0),"Stoc insuficient la această dată. ","")&amp;IF(AND(C1541&lt;&gt;"Stoc inițial",H1541=""),"Lipsește documentul. ","")))</f>
        <v/>
      </c>
    </row>
    <row r="1542" spans="2:14" x14ac:dyDescent="0.2">
      <c r="B1542" s="15"/>
      <c r="C1542" s="6"/>
      <c r="D1542" s="12"/>
      <c r="E1542" s="10" t="str">
        <f t="shared" si="121"/>
        <v/>
      </c>
      <c r="F1542" s="16"/>
      <c r="G1542" s="13"/>
      <c r="H1542" s="6"/>
      <c r="I1542" s="6"/>
      <c r="J1542" s="11" t="str">
        <f t="shared" si="122"/>
        <v/>
      </c>
      <c r="K1542" s="17" t="str">
        <f t="shared" si="123"/>
        <v/>
      </c>
      <c r="L1542" s="18" t="str">
        <f t="shared" si="124"/>
        <v/>
      </c>
      <c r="M1542" s="18" t="str">
        <f>IF(J1542&lt;&gt;-1,"",ROUND(F1542*IFERROR(INDEX(Stocuri!$G$5:$G$204,MATCH(D1542,Coduri,0)),0),2))</f>
        <v/>
      </c>
      <c r="N1542" s="19" t="str">
        <f t="shared" si="125"/>
        <v/>
      </c>
    </row>
    <row r="1543" spans="2:14" x14ac:dyDescent="0.2">
      <c r="B1543" s="15"/>
      <c r="C1543" s="6"/>
      <c r="D1543" s="12"/>
      <c r="E1543" s="10" t="str">
        <f t="shared" si="121"/>
        <v/>
      </c>
      <c r="F1543" s="16"/>
      <c r="G1543" s="13"/>
      <c r="H1543" s="6"/>
      <c r="I1543" s="6"/>
      <c r="J1543" s="11" t="str">
        <f t="shared" si="122"/>
        <v/>
      </c>
      <c r="K1543" s="17" t="str">
        <f t="shared" si="123"/>
        <v/>
      </c>
      <c r="L1543" s="18" t="str">
        <f t="shared" si="124"/>
        <v/>
      </c>
      <c r="M1543" s="18" t="str">
        <f>IF(J1543&lt;&gt;-1,"",ROUND(F1543*IFERROR(INDEX(Stocuri!$G$5:$G$204,MATCH(D1543,Coduri,0)),0),2))</f>
        <v/>
      </c>
      <c r="N1543" s="19" t="str">
        <f t="shared" si="125"/>
        <v/>
      </c>
    </row>
    <row r="1544" spans="2:14" x14ac:dyDescent="0.2">
      <c r="B1544" s="15"/>
      <c r="C1544" s="6"/>
      <c r="D1544" s="12"/>
      <c r="E1544" s="10" t="str">
        <f t="shared" si="121"/>
        <v/>
      </c>
      <c r="F1544" s="16"/>
      <c r="G1544" s="13"/>
      <c r="H1544" s="6"/>
      <c r="I1544" s="6"/>
      <c r="J1544" s="11" t="str">
        <f t="shared" si="122"/>
        <v/>
      </c>
      <c r="K1544" s="17" t="str">
        <f t="shared" si="123"/>
        <v/>
      </c>
      <c r="L1544" s="18" t="str">
        <f t="shared" si="124"/>
        <v/>
      </c>
      <c r="M1544" s="18" t="str">
        <f>IF(J1544&lt;&gt;-1,"",ROUND(F1544*IFERROR(INDEX(Stocuri!$G$5:$G$204,MATCH(D1544,Coduri,0)),0),2))</f>
        <v/>
      </c>
      <c r="N1544" s="19" t="str">
        <f t="shared" si="125"/>
        <v/>
      </c>
    </row>
    <row r="1545" spans="2:14" x14ac:dyDescent="0.2">
      <c r="B1545" s="15"/>
      <c r="C1545" s="6"/>
      <c r="D1545" s="12"/>
      <c r="E1545" s="10" t="str">
        <f t="shared" si="121"/>
        <v/>
      </c>
      <c r="F1545" s="16"/>
      <c r="G1545" s="13"/>
      <c r="H1545" s="6"/>
      <c r="I1545" s="6"/>
      <c r="J1545" s="11" t="str">
        <f t="shared" si="122"/>
        <v/>
      </c>
      <c r="K1545" s="17" t="str">
        <f t="shared" si="123"/>
        <v/>
      </c>
      <c r="L1545" s="18" t="str">
        <f t="shared" si="124"/>
        <v/>
      </c>
      <c r="M1545" s="18" t="str">
        <f>IF(J1545&lt;&gt;-1,"",ROUND(F1545*IFERROR(INDEX(Stocuri!$G$5:$G$204,MATCH(D1545,Coduri,0)),0),2))</f>
        <v/>
      </c>
      <c r="N1545" s="19" t="str">
        <f t="shared" si="125"/>
        <v/>
      </c>
    </row>
    <row r="1546" spans="2:14" x14ac:dyDescent="0.2">
      <c r="B1546" s="15"/>
      <c r="C1546" s="6"/>
      <c r="D1546" s="12"/>
      <c r="E1546" s="10" t="str">
        <f t="shared" si="121"/>
        <v/>
      </c>
      <c r="F1546" s="16"/>
      <c r="G1546" s="13"/>
      <c r="H1546" s="6"/>
      <c r="I1546" s="6"/>
      <c r="J1546" s="11" t="str">
        <f t="shared" si="122"/>
        <v/>
      </c>
      <c r="K1546" s="17" t="str">
        <f t="shared" si="123"/>
        <v/>
      </c>
      <c r="L1546" s="18" t="str">
        <f t="shared" si="124"/>
        <v/>
      </c>
      <c r="M1546" s="18" t="str">
        <f>IF(J1546&lt;&gt;-1,"",ROUND(F1546*IFERROR(INDEX(Stocuri!$G$5:$G$204,MATCH(D1546,Coduri,0)),0),2))</f>
        <v/>
      </c>
      <c r="N1546" s="19" t="str">
        <f t="shared" si="125"/>
        <v/>
      </c>
    </row>
    <row r="1547" spans="2:14" x14ac:dyDescent="0.2">
      <c r="B1547" s="15"/>
      <c r="C1547" s="6"/>
      <c r="D1547" s="12"/>
      <c r="E1547" s="10" t="str">
        <f t="shared" si="121"/>
        <v/>
      </c>
      <c r="F1547" s="16"/>
      <c r="G1547" s="13"/>
      <c r="H1547" s="6"/>
      <c r="I1547" s="6"/>
      <c r="J1547" s="11" t="str">
        <f t="shared" si="122"/>
        <v/>
      </c>
      <c r="K1547" s="17" t="str">
        <f t="shared" si="123"/>
        <v/>
      </c>
      <c r="L1547" s="18" t="str">
        <f t="shared" si="124"/>
        <v/>
      </c>
      <c r="M1547" s="18" t="str">
        <f>IF(J1547&lt;&gt;-1,"",ROUND(F1547*IFERROR(INDEX(Stocuri!$G$5:$G$204,MATCH(D1547,Coduri,0)),0),2))</f>
        <v/>
      </c>
      <c r="N1547" s="19" t="str">
        <f t="shared" si="125"/>
        <v/>
      </c>
    </row>
    <row r="1548" spans="2:14" x14ac:dyDescent="0.2">
      <c r="B1548" s="15"/>
      <c r="C1548" s="6"/>
      <c r="D1548" s="12"/>
      <c r="E1548" s="10" t="str">
        <f t="shared" si="121"/>
        <v/>
      </c>
      <c r="F1548" s="16"/>
      <c r="G1548" s="13"/>
      <c r="H1548" s="6"/>
      <c r="I1548" s="6"/>
      <c r="J1548" s="11" t="str">
        <f t="shared" si="122"/>
        <v/>
      </c>
      <c r="K1548" s="17" t="str">
        <f t="shared" si="123"/>
        <v/>
      </c>
      <c r="L1548" s="18" t="str">
        <f t="shared" si="124"/>
        <v/>
      </c>
      <c r="M1548" s="18" t="str">
        <f>IF(J1548&lt;&gt;-1,"",ROUND(F1548*IFERROR(INDEX(Stocuri!$G$5:$G$204,MATCH(D1548,Coduri,0)),0),2))</f>
        <v/>
      </c>
      <c r="N1548" s="19" t="str">
        <f t="shared" si="125"/>
        <v/>
      </c>
    </row>
    <row r="1549" spans="2:14" x14ac:dyDescent="0.2">
      <c r="B1549" s="15"/>
      <c r="C1549" s="6"/>
      <c r="D1549" s="12"/>
      <c r="E1549" s="10" t="str">
        <f t="shared" si="121"/>
        <v/>
      </c>
      <c r="F1549" s="16"/>
      <c r="G1549" s="13"/>
      <c r="H1549" s="6"/>
      <c r="I1549" s="6"/>
      <c r="J1549" s="11" t="str">
        <f t="shared" si="122"/>
        <v/>
      </c>
      <c r="K1549" s="17" t="str">
        <f t="shared" si="123"/>
        <v/>
      </c>
      <c r="L1549" s="18" t="str">
        <f t="shared" si="124"/>
        <v/>
      </c>
      <c r="M1549" s="18" t="str">
        <f>IF(J1549&lt;&gt;-1,"",ROUND(F1549*IFERROR(INDEX(Stocuri!$G$5:$G$204,MATCH(D1549,Coduri,0)),0),2))</f>
        <v/>
      </c>
      <c r="N1549" s="19" t="str">
        <f t="shared" si="125"/>
        <v/>
      </c>
    </row>
    <row r="1550" spans="2:14" x14ac:dyDescent="0.2">
      <c r="B1550" s="15"/>
      <c r="C1550" s="6"/>
      <c r="D1550" s="12"/>
      <c r="E1550" s="10" t="str">
        <f t="shared" si="121"/>
        <v/>
      </c>
      <c r="F1550" s="16"/>
      <c r="G1550" s="13"/>
      <c r="H1550" s="6"/>
      <c r="I1550" s="6"/>
      <c r="J1550" s="11" t="str">
        <f t="shared" si="122"/>
        <v/>
      </c>
      <c r="K1550" s="17" t="str">
        <f t="shared" si="123"/>
        <v/>
      </c>
      <c r="L1550" s="18" t="str">
        <f t="shared" si="124"/>
        <v/>
      </c>
      <c r="M1550" s="18" t="str">
        <f>IF(J1550&lt;&gt;-1,"",ROUND(F1550*IFERROR(INDEX(Stocuri!$G$5:$G$204,MATCH(D1550,Coduri,0)),0),2))</f>
        <v/>
      </c>
      <c r="N1550" s="19" t="str">
        <f t="shared" si="125"/>
        <v/>
      </c>
    </row>
    <row r="1551" spans="2:14" x14ac:dyDescent="0.2">
      <c r="B1551" s="15"/>
      <c r="C1551" s="6"/>
      <c r="D1551" s="12"/>
      <c r="E1551" s="10" t="str">
        <f t="shared" si="121"/>
        <v/>
      </c>
      <c r="F1551" s="16"/>
      <c r="G1551" s="13"/>
      <c r="H1551" s="6"/>
      <c r="I1551" s="6"/>
      <c r="J1551" s="11" t="str">
        <f t="shared" si="122"/>
        <v/>
      </c>
      <c r="K1551" s="17" t="str">
        <f t="shared" si="123"/>
        <v/>
      </c>
      <c r="L1551" s="18" t="str">
        <f t="shared" si="124"/>
        <v/>
      </c>
      <c r="M1551" s="18" t="str">
        <f>IF(J1551&lt;&gt;-1,"",ROUND(F1551*IFERROR(INDEX(Stocuri!$G$5:$G$204,MATCH(D1551,Coduri,0)),0),2))</f>
        <v/>
      </c>
      <c r="N1551" s="19" t="str">
        <f t="shared" si="125"/>
        <v/>
      </c>
    </row>
    <row r="1552" spans="2:14" x14ac:dyDescent="0.2">
      <c r="B1552" s="15"/>
      <c r="C1552" s="6"/>
      <c r="D1552" s="12"/>
      <c r="E1552" s="10" t="str">
        <f t="shared" si="121"/>
        <v/>
      </c>
      <c r="F1552" s="16"/>
      <c r="G1552" s="13"/>
      <c r="H1552" s="6"/>
      <c r="I1552" s="6"/>
      <c r="J1552" s="11" t="str">
        <f t="shared" si="122"/>
        <v/>
      </c>
      <c r="K1552" s="17" t="str">
        <f t="shared" si="123"/>
        <v/>
      </c>
      <c r="L1552" s="18" t="str">
        <f t="shared" si="124"/>
        <v/>
      </c>
      <c r="M1552" s="18" t="str">
        <f>IF(J1552&lt;&gt;-1,"",ROUND(F1552*IFERROR(INDEX(Stocuri!$G$5:$G$204,MATCH(D1552,Coduri,0)),0),2))</f>
        <v/>
      </c>
      <c r="N1552" s="19" t="str">
        <f t="shared" si="125"/>
        <v/>
      </c>
    </row>
    <row r="1553" spans="2:14" x14ac:dyDescent="0.2">
      <c r="B1553" s="15"/>
      <c r="C1553" s="6"/>
      <c r="D1553" s="12"/>
      <c r="E1553" s="10" t="str">
        <f t="shared" si="121"/>
        <v/>
      </c>
      <c r="F1553" s="16"/>
      <c r="G1553" s="13"/>
      <c r="H1553" s="6"/>
      <c r="I1553" s="6"/>
      <c r="J1553" s="11" t="str">
        <f t="shared" si="122"/>
        <v/>
      </c>
      <c r="K1553" s="17" t="str">
        <f t="shared" si="123"/>
        <v/>
      </c>
      <c r="L1553" s="18" t="str">
        <f t="shared" si="124"/>
        <v/>
      </c>
      <c r="M1553" s="18" t="str">
        <f>IF(J1553&lt;&gt;-1,"",ROUND(F1553*IFERROR(INDEX(Stocuri!$G$5:$G$204,MATCH(D1553,Coduri,0)),0),2))</f>
        <v/>
      </c>
      <c r="N1553" s="19" t="str">
        <f t="shared" si="125"/>
        <v/>
      </c>
    </row>
    <row r="1554" spans="2:14" x14ac:dyDescent="0.2">
      <c r="B1554" s="15"/>
      <c r="C1554" s="6"/>
      <c r="D1554" s="12"/>
      <c r="E1554" s="10" t="str">
        <f t="shared" si="121"/>
        <v/>
      </c>
      <c r="F1554" s="16"/>
      <c r="G1554" s="13"/>
      <c r="H1554" s="6"/>
      <c r="I1554" s="6"/>
      <c r="J1554" s="11" t="str">
        <f t="shared" si="122"/>
        <v/>
      </c>
      <c r="K1554" s="17" t="str">
        <f t="shared" si="123"/>
        <v/>
      </c>
      <c r="L1554" s="18" t="str">
        <f t="shared" si="124"/>
        <v/>
      </c>
      <c r="M1554" s="18" t="str">
        <f>IF(J1554&lt;&gt;-1,"",ROUND(F1554*IFERROR(INDEX(Stocuri!$G$5:$G$204,MATCH(D1554,Coduri,0)),0),2))</f>
        <v/>
      </c>
      <c r="N1554" s="19" t="str">
        <f t="shared" si="125"/>
        <v/>
      </c>
    </row>
    <row r="1555" spans="2:14" x14ac:dyDescent="0.2">
      <c r="B1555" s="15"/>
      <c r="C1555" s="6"/>
      <c r="D1555" s="12"/>
      <c r="E1555" s="10" t="str">
        <f t="shared" si="121"/>
        <v/>
      </c>
      <c r="F1555" s="16"/>
      <c r="G1555" s="13"/>
      <c r="H1555" s="6"/>
      <c r="I1555" s="6"/>
      <c r="J1555" s="11" t="str">
        <f t="shared" si="122"/>
        <v/>
      </c>
      <c r="K1555" s="17" t="str">
        <f t="shared" si="123"/>
        <v/>
      </c>
      <c r="L1555" s="18" t="str">
        <f t="shared" si="124"/>
        <v/>
      </c>
      <c r="M1555" s="18" t="str">
        <f>IF(J1555&lt;&gt;-1,"",ROUND(F1555*IFERROR(INDEX(Stocuri!$G$5:$G$204,MATCH(D1555,Coduri,0)),0),2))</f>
        <v/>
      </c>
      <c r="N1555" s="19" t="str">
        <f t="shared" si="125"/>
        <v/>
      </c>
    </row>
    <row r="1556" spans="2:14" x14ac:dyDescent="0.2">
      <c r="B1556" s="15"/>
      <c r="C1556" s="6"/>
      <c r="D1556" s="12"/>
      <c r="E1556" s="10" t="str">
        <f t="shared" si="121"/>
        <v/>
      </c>
      <c r="F1556" s="16"/>
      <c r="G1556" s="13"/>
      <c r="H1556" s="6"/>
      <c r="I1556" s="6"/>
      <c r="J1556" s="11" t="str">
        <f t="shared" si="122"/>
        <v/>
      </c>
      <c r="K1556" s="17" t="str">
        <f t="shared" si="123"/>
        <v/>
      </c>
      <c r="L1556" s="18" t="str">
        <f t="shared" si="124"/>
        <v/>
      </c>
      <c r="M1556" s="18" t="str">
        <f>IF(J1556&lt;&gt;-1,"",ROUND(F1556*IFERROR(INDEX(Stocuri!$G$5:$G$204,MATCH(D1556,Coduri,0)),0),2))</f>
        <v/>
      </c>
      <c r="N1556" s="19" t="str">
        <f t="shared" si="125"/>
        <v/>
      </c>
    </row>
    <row r="1557" spans="2:14" x14ac:dyDescent="0.2">
      <c r="B1557" s="15"/>
      <c r="C1557" s="6"/>
      <c r="D1557" s="12"/>
      <c r="E1557" s="10" t="str">
        <f t="shared" si="121"/>
        <v/>
      </c>
      <c r="F1557" s="16"/>
      <c r="G1557" s="13"/>
      <c r="H1557" s="6"/>
      <c r="I1557" s="6"/>
      <c r="J1557" s="11" t="str">
        <f t="shared" si="122"/>
        <v/>
      </c>
      <c r="K1557" s="17" t="str">
        <f t="shared" si="123"/>
        <v/>
      </c>
      <c r="L1557" s="18" t="str">
        <f t="shared" si="124"/>
        <v/>
      </c>
      <c r="M1557" s="18" t="str">
        <f>IF(J1557&lt;&gt;-1,"",ROUND(F1557*IFERROR(INDEX(Stocuri!$G$5:$G$204,MATCH(D1557,Coduri,0)),0),2))</f>
        <v/>
      </c>
      <c r="N1557" s="19" t="str">
        <f t="shared" si="125"/>
        <v/>
      </c>
    </row>
    <row r="1558" spans="2:14" x14ac:dyDescent="0.2">
      <c r="B1558" s="15"/>
      <c r="C1558" s="6"/>
      <c r="D1558" s="12"/>
      <c r="E1558" s="10" t="str">
        <f t="shared" si="121"/>
        <v/>
      </c>
      <c r="F1558" s="16"/>
      <c r="G1558" s="13"/>
      <c r="H1558" s="6"/>
      <c r="I1558" s="6"/>
      <c r="J1558" s="11" t="str">
        <f t="shared" si="122"/>
        <v/>
      </c>
      <c r="K1558" s="17" t="str">
        <f t="shared" si="123"/>
        <v/>
      </c>
      <c r="L1558" s="18" t="str">
        <f t="shared" si="124"/>
        <v/>
      </c>
      <c r="M1558" s="18" t="str">
        <f>IF(J1558&lt;&gt;-1,"",ROUND(F1558*IFERROR(INDEX(Stocuri!$G$5:$G$204,MATCH(D1558,Coduri,0)),0),2))</f>
        <v/>
      </c>
      <c r="N1558" s="19" t="str">
        <f t="shared" si="125"/>
        <v/>
      </c>
    </row>
    <row r="1559" spans="2:14" x14ac:dyDescent="0.2">
      <c r="B1559" s="15"/>
      <c r="C1559" s="6"/>
      <c r="D1559" s="12"/>
      <c r="E1559" s="10" t="str">
        <f t="shared" si="121"/>
        <v/>
      </c>
      <c r="F1559" s="16"/>
      <c r="G1559" s="13"/>
      <c r="H1559" s="6"/>
      <c r="I1559" s="6"/>
      <c r="J1559" s="11" t="str">
        <f t="shared" si="122"/>
        <v/>
      </c>
      <c r="K1559" s="17" t="str">
        <f t="shared" si="123"/>
        <v/>
      </c>
      <c r="L1559" s="18" t="str">
        <f t="shared" si="124"/>
        <v/>
      </c>
      <c r="M1559" s="18" t="str">
        <f>IF(J1559&lt;&gt;-1,"",ROUND(F1559*IFERROR(INDEX(Stocuri!$G$5:$G$204,MATCH(D1559,Coduri,0)),0),2))</f>
        <v/>
      </c>
      <c r="N1559" s="19" t="str">
        <f t="shared" si="125"/>
        <v/>
      </c>
    </row>
    <row r="1560" spans="2:14" x14ac:dyDescent="0.2">
      <c r="B1560" s="15"/>
      <c r="C1560" s="6"/>
      <c r="D1560" s="12"/>
      <c r="E1560" s="10" t="str">
        <f t="shared" si="121"/>
        <v/>
      </c>
      <c r="F1560" s="16"/>
      <c r="G1560" s="13"/>
      <c r="H1560" s="6"/>
      <c r="I1560" s="6"/>
      <c r="J1560" s="11" t="str">
        <f t="shared" si="122"/>
        <v/>
      </c>
      <c r="K1560" s="17" t="str">
        <f t="shared" si="123"/>
        <v/>
      </c>
      <c r="L1560" s="18" t="str">
        <f t="shared" si="124"/>
        <v/>
      </c>
      <c r="M1560" s="18" t="str">
        <f>IF(J1560&lt;&gt;-1,"",ROUND(F1560*IFERROR(INDEX(Stocuri!$G$5:$G$204,MATCH(D1560,Coduri,0)),0),2))</f>
        <v/>
      </c>
      <c r="N1560" s="19" t="str">
        <f t="shared" si="125"/>
        <v/>
      </c>
    </row>
    <row r="1561" spans="2:14" x14ac:dyDescent="0.2">
      <c r="B1561" s="15"/>
      <c r="C1561" s="6"/>
      <c r="D1561" s="12"/>
      <c r="E1561" s="10" t="str">
        <f t="shared" si="121"/>
        <v/>
      </c>
      <c r="F1561" s="16"/>
      <c r="G1561" s="13"/>
      <c r="H1561" s="6"/>
      <c r="I1561" s="6"/>
      <c r="J1561" s="11" t="str">
        <f t="shared" si="122"/>
        <v/>
      </c>
      <c r="K1561" s="17" t="str">
        <f t="shared" si="123"/>
        <v/>
      </c>
      <c r="L1561" s="18" t="str">
        <f t="shared" si="124"/>
        <v/>
      </c>
      <c r="M1561" s="18" t="str">
        <f>IF(J1561&lt;&gt;-1,"",ROUND(F1561*IFERROR(INDEX(Stocuri!$G$5:$G$204,MATCH(D1561,Coduri,0)),0),2))</f>
        <v/>
      </c>
      <c r="N1561" s="19" t="str">
        <f t="shared" si="125"/>
        <v/>
      </c>
    </row>
    <row r="1562" spans="2:14" x14ac:dyDescent="0.2">
      <c r="B1562" s="15"/>
      <c r="C1562" s="6"/>
      <c r="D1562" s="12"/>
      <c r="E1562" s="10" t="str">
        <f t="shared" si="121"/>
        <v/>
      </c>
      <c r="F1562" s="16"/>
      <c r="G1562" s="13"/>
      <c r="H1562" s="6"/>
      <c r="I1562" s="6"/>
      <c r="J1562" s="11" t="str">
        <f t="shared" si="122"/>
        <v/>
      </c>
      <c r="K1562" s="17" t="str">
        <f t="shared" si="123"/>
        <v/>
      </c>
      <c r="L1562" s="18" t="str">
        <f t="shared" si="124"/>
        <v/>
      </c>
      <c r="M1562" s="18" t="str">
        <f>IF(J1562&lt;&gt;-1,"",ROUND(F1562*IFERROR(INDEX(Stocuri!$G$5:$G$204,MATCH(D1562,Coduri,0)),0),2))</f>
        <v/>
      </c>
      <c r="N1562" s="19" t="str">
        <f t="shared" si="125"/>
        <v/>
      </c>
    </row>
    <row r="1563" spans="2:14" x14ac:dyDescent="0.2">
      <c r="B1563" s="15"/>
      <c r="C1563" s="6"/>
      <c r="D1563" s="12"/>
      <c r="E1563" s="10" t="str">
        <f t="shared" si="121"/>
        <v/>
      </c>
      <c r="F1563" s="16"/>
      <c r="G1563" s="13"/>
      <c r="H1563" s="6"/>
      <c r="I1563" s="6"/>
      <c r="J1563" s="11" t="str">
        <f t="shared" si="122"/>
        <v/>
      </c>
      <c r="K1563" s="17" t="str">
        <f t="shared" si="123"/>
        <v/>
      </c>
      <c r="L1563" s="18" t="str">
        <f t="shared" si="124"/>
        <v/>
      </c>
      <c r="M1563" s="18" t="str">
        <f>IF(J1563&lt;&gt;-1,"",ROUND(F1563*IFERROR(INDEX(Stocuri!$G$5:$G$204,MATCH(D1563,Coduri,0)),0),2))</f>
        <v/>
      </c>
      <c r="N1563" s="19" t="str">
        <f t="shared" si="125"/>
        <v/>
      </c>
    </row>
    <row r="1564" spans="2:14" x14ac:dyDescent="0.2">
      <c r="B1564" s="15"/>
      <c r="C1564" s="6"/>
      <c r="D1564" s="12"/>
      <c r="E1564" s="10" t="str">
        <f t="shared" si="121"/>
        <v/>
      </c>
      <c r="F1564" s="16"/>
      <c r="G1564" s="13"/>
      <c r="H1564" s="6"/>
      <c r="I1564" s="6"/>
      <c r="J1564" s="11" t="str">
        <f t="shared" si="122"/>
        <v/>
      </c>
      <c r="K1564" s="17" t="str">
        <f t="shared" si="123"/>
        <v/>
      </c>
      <c r="L1564" s="18" t="str">
        <f t="shared" si="124"/>
        <v/>
      </c>
      <c r="M1564" s="18" t="str">
        <f>IF(J1564&lt;&gt;-1,"",ROUND(F1564*IFERROR(INDEX(Stocuri!$G$5:$G$204,MATCH(D1564,Coduri,0)),0),2))</f>
        <v/>
      </c>
      <c r="N1564" s="19" t="str">
        <f t="shared" si="125"/>
        <v/>
      </c>
    </row>
    <row r="1565" spans="2:14" x14ac:dyDescent="0.2">
      <c r="B1565" s="15"/>
      <c r="C1565" s="6"/>
      <c r="D1565" s="12"/>
      <c r="E1565" s="10" t="str">
        <f t="shared" si="121"/>
        <v/>
      </c>
      <c r="F1565" s="16"/>
      <c r="G1565" s="13"/>
      <c r="H1565" s="6"/>
      <c r="I1565" s="6"/>
      <c r="J1565" s="11" t="str">
        <f t="shared" si="122"/>
        <v/>
      </c>
      <c r="K1565" s="17" t="str">
        <f t="shared" si="123"/>
        <v/>
      </c>
      <c r="L1565" s="18" t="str">
        <f t="shared" si="124"/>
        <v/>
      </c>
      <c r="M1565" s="18" t="str">
        <f>IF(J1565&lt;&gt;-1,"",ROUND(F1565*IFERROR(INDEX(Stocuri!$G$5:$G$204,MATCH(D1565,Coduri,0)),0),2))</f>
        <v/>
      </c>
      <c r="N1565" s="19" t="str">
        <f t="shared" si="125"/>
        <v/>
      </c>
    </row>
    <row r="1566" spans="2:14" x14ac:dyDescent="0.2">
      <c r="B1566" s="15"/>
      <c r="C1566" s="6"/>
      <c r="D1566" s="12"/>
      <c r="E1566" s="10" t="str">
        <f t="shared" si="121"/>
        <v/>
      </c>
      <c r="F1566" s="16"/>
      <c r="G1566" s="13"/>
      <c r="H1566" s="6"/>
      <c r="I1566" s="6"/>
      <c r="J1566" s="11" t="str">
        <f t="shared" si="122"/>
        <v/>
      </c>
      <c r="K1566" s="17" t="str">
        <f t="shared" si="123"/>
        <v/>
      </c>
      <c r="L1566" s="18" t="str">
        <f t="shared" si="124"/>
        <v/>
      </c>
      <c r="M1566" s="18" t="str">
        <f>IF(J1566&lt;&gt;-1,"",ROUND(F1566*IFERROR(INDEX(Stocuri!$G$5:$G$204,MATCH(D1566,Coduri,0)),0),2))</f>
        <v/>
      </c>
      <c r="N1566" s="19" t="str">
        <f t="shared" si="125"/>
        <v/>
      </c>
    </row>
    <row r="1567" spans="2:14" x14ac:dyDescent="0.2">
      <c r="B1567" s="15"/>
      <c r="C1567" s="6"/>
      <c r="D1567" s="12"/>
      <c r="E1567" s="10" t="str">
        <f t="shared" si="121"/>
        <v/>
      </c>
      <c r="F1567" s="16"/>
      <c r="G1567" s="13"/>
      <c r="H1567" s="6"/>
      <c r="I1567" s="6"/>
      <c r="J1567" s="11" t="str">
        <f t="shared" si="122"/>
        <v/>
      </c>
      <c r="K1567" s="17" t="str">
        <f t="shared" si="123"/>
        <v/>
      </c>
      <c r="L1567" s="18" t="str">
        <f t="shared" si="124"/>
        <v/>
      </c>
      <c r="M1567" s="18" t="str">
        <f>IF(J1567&lt;&gt;-1,"",ROUND(F1567*IFERROR(INDEX(Stocuri!$G$5:$G$204,MATCH(D1567,Coduri,0)),0),2))</f>
        <v/>
      </c>
      <c r="N1567" s="19" t="str">
        <f t="shared" si="125"/>
        <v/>
      </c>
    </row>
    <row r="1568" spans="2:14" x14ac:dyDescent="0.2">
      <c r="B1568" s="15"/>
      <c r="C1568" s="6"/>
      <c r="D1568" s="12"/>
      <c r="E1568" s="10" t="str">
        <f t="shared" si="121"/>
        <v/>
      </c>
      <c r="F1568" s="16"/>
      <c r="G1568" s="13"/>
      <c r="H1568" s="6"/>
      <c r="I1568" s="6"/>
      <c r="J1568" s="11" t="str">
        <f t="shared" si="122"/>
        <v/>
      </c>
      <c r="K1568" s="17" t="str">
        <f t="shared" si="123"/>
        <v/>
      </c>
      <c r="L1568" s="18" t="str">
        <f t="shared" si="124"/>
        <v/>
      </c>
      <c r="M1568" s="18" t="str">
        <f>IF(J1568&lt;&gt;-1,"",ROUND(F1568*IFERROR(INDEX(Stocuri!$G$5:$G$204,MATCH(D1568,Coduri,0)),0),2))</f>
        <v/>
      </c>
      <c r="N1568" s="19" t="str">
        <f t="shared" si="125"/>
        <v/>
      </c>
    </row>
    <row r="1569" spans="2:14" x14ac:dyDescent="0.2">
      <c r="B1569" s="15"/>
      <c r="C1569" s="6"/>
      <c r="D1569" s="12"/>
      <c r="E1569" s="10" t="str">
        <f t="shared" si="121"/>
        <v/>
      </c>
      <c r="F1569" s="16"/>
      <c r="G1569" s="13"/>
      <c r="H1569" s="6"/>
      <c r="I1569" s="6"/>
      <c r="J1569" s="11" t="str">
        <f t="shared" si="122"/>
        <v/>
      </c>
      <c r="K1569" s="17" t="str">
        <f t="shared" si="123"/>
        <v/>
      </c>
      <c r="L1569" s="18" t="str">
        <f t="shared" si="124"/>
        <v/>
      </c>
      <c r="M1569" s="18" t="str">
        <f>IF(J1569&lt;&gt;-1,"",ROUND(F1569*IFERROR(INDEX(Stocuri!$G$5:$G$204,MATCH(D1569,Coduri,0)),0),2))</f>
        <v/>
      </c>
      <c r="N1569" s="19" t="str">
        <f t="shared" si="125"/>
        <v/>
      </c>
    </row>
    <row r="1570" spans="2:14" x14ac:dyDescent="0.2">
      <c r="B1570" s="15"/>
      <c r="C1570" s="6"/>
      <c r="D1570" s="12"/>
      <c r="E1570" s="10" t="str">
        <f t="shared" si="121"/>
        <v/>
      </c>
      <c r="F1570" s="16"/>
      <c r="G1570" s="13"/>
      <c r="H1570" s="6"/>
      <c r="I1570" s="6"/>
      <c r="J1570" s="11" t="str">
        <f t="shared" si="122"/>
        <v/>
      </c>
      <c r="K1570" s="17" t="str">
        <f t="shared" si="123"/>
        <v/>
      </c>
      <c r="L1570" s="18" t="str">
        <f t="shared" si="124"/>
        <v/>
      </c>
      <c r="M1570" s="18" t="str">
        <f>IF(J1570&lt;&gt;-1,"",ROUND(F1570*IFERROR(INDEX(Stocuri!$G$5:$G$204,MATCH(D1570,Coduri,0)),0),2))</f>
        <v/>
      </c>
      <c r="N1570" s="19" t="str">
        <f t="shared" si="125"/>
        <v/>
      </c>
    </row>
    <row r="1571" spans="2:14" x14ac:dyDescent="0.2">
      <c r="B1571" s="15"/>
      <c r="C1571" s="6"/>
      <c r="D1571" s="12"/>
      <c r="E1571" s="10" t="str">
        <f t="shared" si="121"/>
        <v/>
      </c>
      <c r="F1571" s="16"/>
      <c r="G1571" s="13"/>
      <c r="H1571" s="6"/>
      <c r="I1571" s="6"/>
      <c r="J1571" s="11" t="str">
        <f t="shared" si="122"/>
        <v/>
      </c>
      <c r="K1571" s="17" t="str">
        <f t="shared" si="123"/>
        <v/>
      </c>
      <c r="L1571" s="18" t="str">
        <f t="shared" si="124"/>
        <v/>
      </c>
      <c r="M1571" s="18" t="str">
        <f>IF(J1571&lt;&gt;-1,"",ROUND(F1571*IFERROR(INDEX(Stocuri!$G$5:$G$204,MATCH(D1571,Coduri,0)),0),2))</f>
        <v/>
      </c>
      <c r="N1571" s="19" t="str">
        <f t="shared" si="125"/>
        <v/>
      </c>
    </row>
    <row r="1572" spans="2:14" x14ac:dyDescent="0.2">
      <c r="B1572" s="15"/>
      <c r="C1572" s="6"/>
      <c r="D1572" s="12"/>
      <c r="E1572" s="10" t="str">
        <f t="shared" si="121"/>
        <v/>
      </c>
      <c r="F1572" s="16"/>
      <c r="G1572" s="13"/>
      <c r="H1572" s="6"/>
      <c r="I1572" s="6"/>
      <c r="J1572" s="11" t="str">
        <f t="shared" si="122"/>
        <v/>
      </c>
      <c r="K1572" s="17" t="str">
        <f t="shared" si="123"/>
        <v/>
      </c>
      <c r="L1572" s="18" t="str">
        <f t="shared" si="124"/>
        <v/>
      </c>
      <c r="M1572" s="18" t="str">
        <f>IF(J1572&lt;&gt;-1,"",ROUND(F1572*IFERROR(INDEX(Stocuri!$G$5:$G$204,MATCH(D1572,Coduri,0)),0),2))</f>
        <v/>
      </c>
      <c r="N1572" s="19" t="str">
        <f t="shared" si="125"/>
        <v/>
      </c>
    </row>
    <row r="1573" spans="2:14" x14ac:dyDescent="0.2">
      <c r="B1573" s="15"/>
      <c r="C1573" s="6"/>
      <c r="D1573" s="12"/>
      <c r="E1573" s="10" t="str">
        <f t="shared" si="121"/>
        <v/>
      </c>
      <c r="F1573" s="16"/>
      <c r="G1573" s="13"/>
      <c r="H1573" s="6"/>
      <c r="I1573" s="6"/>
      <c r="J1573" s="11" t="str">
        <f t="shared" si="122"/>
        <v/>
      </c>
      <c r="K1573" s="17" t="str">
        <f t="shared" si="123"/>
        <v/>
      </c>
      <c r="L1573" s="18" t="str">
        <f t="shared" si="124"/>
        <v/>
      </c>
      <c r="M1573" s="18" t="str">
        <f>IF(J1573&lt;&gt;-1,"",ROUND(F1573*IFERROR(INDEX(Stocuri!$G$5:$G$204,MATCH(D1573,Coduri,0)),0),2))</f>
        <v/>
      </c>
      <c r="N1573" s="19" t="str">
        <f t="shared" si="125"/>
        <v/>
      </c>
    </row>
    <row r="1574" spans="2:14" x14ac:dyDescent="0.2">
      <c r="B1574" s="15"/>
      <c r="C1574" s="6"/>
      <c r="D1574" s="12"/>
      <c r="E1574" s="10" t="str">
        <f t="shared" si="121"/>
        <v/>
      </c>
      <c r="F1574" s="16"/>
      <c r="G1574" s="13"/>
      <c r="H1574" s="6"/>
      <c r="I1574" s="6"/>
      <c r="J1574" s="11" t="str">
        <f t="shared" si="122"/>
        <v/>
      </c>
      <c r="K1574" s="17" t="str">
        <f t="shared" si="123"/>
        <v/>
      </c>
      <c r="L1574" s="18" t="str">
        <f t="shared" si="124"/>
        <v/>
      </c>
      <c r="M1574" s="18" t="str">
        <f>IF(J1574&lt;&gt;-1,"",ROUND(F1574*IFERROR(INDEX(Stocuri!$G$5:$G$204,MATCH(D1574,Coduri,0)),0),2))</f>
        <v/>
      </c>
      <c r="N1574" s="19" t="str">
        <f t="shared" si="125"/>
        <v/>
      </c>
    </row>
    <row r="1575" spans="2:14" x14ac:dyDescent="0.2">
      <c r="B1575" s="15"/>
      <c r="C1575" s="6"/>
      <c r="D1575" s="12"/>
      <c r="E1575" s="10" t="str">
        <f t="shared" si="121"/>
        <v/>
      </c>
      <c r="F1575" s="16"/>
      <c r="G1575" s="13"/>
      <c r="H1575" s="6"/>
      <c r="I1575" s="6"/>
      <c r="J1575" s="11" t="str">
        <f t="shared" si="122"/>
        <v/>
      </c>
      <c r="K1575" s="17" t="str">
        <f t="shared" si="123"/>
        <v/>
      </c>
      <c r="L1575" s="18" t="str">
        <f t="shared" si="124"/>
        <v/>
      </c>
      <c r="M1575" s="18" t="str">
        <f>IF(J1575&lt;&gt;-1,"",ROUND(F1575*IFERROR(INDEX(Stocuri!$G$5:$G$204,MATCH(D1575,Coduri,0)),0),2))</f>
        <v/>
      </c>
      <c r="N1575" s="19" t="str">
        <f t="shared" si="125"/>
        <v/>
      </c>
    </row>
    <row r="1576" spans="2:14" x14ac:dyDescent="0.2">
      <c r="B1576" s="15"/>
      <c r="C1576" s="6"/>
      <c r="D1576" s="12"/>
      <c r="E1576" s="10" t="str">
        <f t="shared" si="121"/>
        <v/>
      </c>
      <c r="F1576" s="16"/>
      <c r="G1576" s="13"/>
      <c r="H1576" s="6"/>
      <c r="I1576" s="6"/>
      <c r="J1576" s="11" t="str">
        <f t="shared" si="122"/>
        <v/>
      </c>
      <c r="K1576" s="17" t="str">
        <f t="shared" si="123"/>
        <v/>
      </c>
      <c r="L1576" s="18" t="str">
        <f t="shared" si="124"/>
        <v/>
      </c>
      <c r="M1576" s="18" t="str">
        <f>IF(J1576&lt;&gt;-1,"",ROUND(F1576*IFERROR(INDEX(Stocuri!$G$5:$G$204,MATCH(D1576,Coduri,0)),0),2))</f>
        <v/>
      </c>
      <c r="N1576" s="19" t="str">
        <f t="shared" si="125"/>
        <v/>
      </c>
    </row>
    <row r="1577" spans="2:14" x14ac:dyDescent="0.2">
      <c r="B1577" s="15"/>
      <c r="C1577" s="6"/>
      <c r="D1577" s="12"/>
      <c r="E1577" s="10" t="str">
        <f t="shared" si="121"/>
        <v/>
      </c>
      <c r="F1577" s="16"/>
      <c r="G1577" s="13"/>
      <c r="H1577" s="6"/>
      <c r="I1577" s="6"/>
      <c r="J1577" s="11" t="str">
        <f t="shared" si="122"/>
        <v/>
      </c>
      <c r="K1577" s="17" t="str">
        <f t="shared" si="123"/>
        <v/>
      </c>
      <c r="L1577" s="18" t="str">
        <f t="shared" si="124"/>
        <v/>
      </c>
      <c r="M1577" s="18" t="str">
        <f>IF(J1577&lt;&gt;-1,"",ROUND(F1577*IFERROR(INDEX(Stocuri!$G$5:$G$204,MATCH(D1577,Coduri,0)),0),2))</f>
        <v/>
      </c>
      <c r="N1577" s="19" t="str">
        <f t="shared" si="125"/>
        <v/>
      </c>
    </row>
    <row r="1578" spans="2:14" x14ac:dyDescent="0.2">
      <c r="B1578" s="15"/>
      <c r="C1578" s="6"/>
      <c r="D1578" s="12"/>
      <c r="E1578" s="10" t="str">
        <f t="shared" si="121"/>
        <v/>
      </c>
      <c r="F1578" s="16"/>
      <c r="G1578" s="13"/>
      <c r="H1578" s="6"/>
      <c r="I1578" s="6"/>
      <c r="J1578" s="11" t="str">
        <f t="shared" si="122"/>
        <v/>
      </c>
      <c r="K1578" s="17" t="str">
        <f t="shared" si="123"/>
        <v/>
      </c>
      <c r="L1578" s="18" t="str">
        <f t="shared" si="124"/>
        <v/>
      </c>
      <c r="M1578" s="18" t="str">
        <f>IF(J1578&lt;&gt;-1,"",ROUND(F1578*IFERROR(INDEX(Stocuri!$G$5:$G$204,MATCH(D1578,Coduri,0)),0),2))</f>
        <v/>
      </c>
      <c r="N1578" s="19" t="str">
        <f t="shared" si="125"/>
        <v/>
      </c>
    </row>
    <row r="1579" spans="2:14" x14ac:dyDescent="0.2">
      <c r="B1579" s="15"/>
      <c r="C1579" s="6"/>
      <c r="D1579" s="12"/>
      <c r="E1579" s="10" t="str">
        <f t="shared" si="121"/>
        <v/>
      </c>
      <c r="F1579" s="16"/>
      <c r="G1579" s="13"/>
      <c r="H1579" s="6"/>
      <c r="I1579" s="6"/>
      <c r="J1579" s="11" t="str">
        <f t="shared" si="122"/>
        <v/>
      </c>
      <c r="K1579" s="17" t="str">
        <f t="shared" si="123"/>
        <v/>
      </c>
      <c r="L1579" s="18" t="str">
        <f t="shared" si="124"/>
        <v/>
      </c>
      <c r="M1579" s="18" t="str">
        <f>IF(J1579&lt;&gt;-1,"",ROUND(F1579*IFERROR(INDEX(Stocuri!$G$5:$G$204,MATCH(D1579,Coduri,0)),0),2))</f>
        <v/>
      </c>
      <c r="N1579" s="19" t="str">
        <f t="shared" si="125"/>
        <v/>
      </c>
    </row>
    <row r="1580" spans="2:14" x14ac:dyDescent="0.2">
      <c r="B1580" s="15"/>
      <c r="C1580" s="6"/>
      <c r="D1580" s="12"/>
      <c r="E1580" s="10" t="str">
        <f t="shared" si="121"/>
        <v/>
      </c>
      <c r="F1580" s="16"/>
      <c r="G1580" s="13"/>
      <c r="H1580" s="6"/>
      <c r="I1580" s="6"/>
      <c r="J1580" s="11" t="str">
        <f t="shared" si="122"/>
        <v/>
      </c>
      <c r="K1580" s="17" t="str">
        <f t="shared" si="123"/>
        <v/>
      </c>
      <c r="L1580" s="18" t="str">
        <f t="shared" si="124"/>
        <v/>
      </c>
      <c r="M1580" s="18" t="str">
        <f>IF(J1580&lt;&gt;-1,"",ROUND(F1580*IFERROR(INDEX(Stocuri!$G$5:$G$204,MATCH(D1580,Coduri,0)),0),2))</f>
        <v/>
      </c>
      <c r="N1580" s="19" t="str">
        <f t="shared" si="125"/>
        <v/>
      </c>
    </row>
    <row r="1581" spans="2:14" x14ac:dyDescent="0.2">
      <c r="B1581" s="15"/>
      <c r="C1581" s="6"/>
      <c r="D1581" s="12"/>
      <c r="E1581" s="10" t="str">
        <f t="shared" si="121"/>
        <v/>
      </c>
      <c r="F1581" s="16"/>
      <c r="G1581" s="13"/>
      <c r="H1581" s="6"/>
      <c r="I1581" s="6"/>
      <c r="J1581" s="11" t="str">
        <f t="shared" si="122"/>
        <v/>
      </c>
      <c r="K1581" s="17" t="str">
        <f t="shared" si="123"/>
        <v/>
      </c>
      <c r="L1581" s="18" t="str">
        <f t="shared" si="124"/>
        <v/>
      </c>
      <c r="M1581" s="18" t="str">
        <f>IF(J1581&lt;&gt;-1,"",ROUND(F1581*IFERROR(INDEX(Stocuri!$G$5:$G$204,MATCH(D1581,Coduri,0)),0),2))</f>
        <v/>
      </c>
      <c r="N1581" s="19" t="str">
        <f t="shared" si="125"/>
        <v/>
      </c>
    </row>
    <row r="1582" spans="2:14" x14ac:dyDescent="0.2">
      <c r="B1582" s="15"/>
      <c r="C1582" s="6"/>
      <c r="D1582" s="12"/>
      <c r="E1582" s="10" t="str">
        <f t="shared" si="121"/>
        <v/>
      </c>
      <c r="F1582" s="16"/>
      <c r="G1582" s="13"/>
      <c r="H1582" s="6"/>
      <c r="I1582" s="6"/>
      <c r="J1582" s="11" t="str">
        <f t="shared" si="122"/>
        <v/>
      </c>
      <c r="K1582" s="17" t="str">
        <f t="shared" si="123"/>
        <v/>
      </c>
      <c r="L1582" s="18" t="str">
        <f t="shared" si="124"/>
        <v/>
      </c>
      <c r="M1582" s="18" t="str">
        <f>IF(J1582&lt;&gt;-1,"",ROUND(F1582*IFERROR(INDEX(Stocuri!$G$5:$G$204,MATCH(D1582,Coduri,0)),0),2))</f>
        <v/>
      </c>
      <c r="N1582" s="19" t="str">
        <f t="shared" si="125"/>
        <v/>
      </c>
    </row>
    <row r="1583" spans="2:14" x14ac:dyDescent="0.2">
      <c r="B1583" s="15"/>
      <c r="C1583" s="6"/>
      <c r="D1583" s="12"/>
      <c r="E1583" s="10" t="str">
        <f t="shared" si="121"/>
        <v/>
      </c>
      <c r="F1583" s="16"/>
      <c r="G1583" s="13"/>
      <c r="H1583" s="6"/>
      <c r="I1583" s="6"/>
      <c r="J1583" s="11" t="str">
        <f t="shared" si="122"/>
        <v/>
      </c>
      <c r="K1583" s="17" t="str">
        <f t="shared" si="123"/>
        <v/>
      </c>
      <c r="L1583" s="18" t="str">
        <f t="shared" si="124"/>
        <v/>
      </c>
      <c r="M1583" s="18" t="str">
        <f>IF(J1583&lt;&gt;-1,"",ROUND(F1583*IFERROR(INDEX(Stocuri!$G$5:$G$204,MATCH(D1583,Coduri,0)),0),2))</f>
        <v/>
      </c>
      <c r="N1583" s="19" t="str">
        <f t="shared" si="125"/>
        <v/>
      </c>
    </row>
    <row r="1584" spans="2:14" x14ac:dyDescent="0.2">
      <c r="B1584" s="15"/>
      <c r="C1584" s="6"/>
      <c r="D1584" s="12"/>
      <c r="E1584" s="10" t="str">
        <f t="shared" si="121"/>
        <v/>
      </c>
      <c r="F1584" s="16"/>
      <c r="G1584" s="13"/>
      <c r="H1584" s="6"/>
      <c r="I1584" s="6"/>
      <c r="J1584" s="11" t="str">
        <f t="shared" si="122"/>
        <v/>
      </c>
      <c r="K1584" s="17" t="str">
        <f t="shared" si="123"/>
        <v/>
      </c>
      <c r="L1584" s="18" t="str">
        <f t="shared" si="124"/>
        <v/>
      </c>
      <c r="M1584" s="18" t="str">
        <f>IF(J1584&lt;&gt;-1,"",ROUND(F1584*IFERROR(INDEX(Stocuri!$G$5:$G$204,MATCH(D1584,Coduri,0)),0),2))</f>
        <v/>
      </c>
      <c r="N1584" s="19" t="str">
        <f t="shared" si="125"/>
        <v/>
      </c>
    </row>
    <row r="1585" spans="2:14" x14ac:dyDescent="0.2">
      <c r="B1585" s="15"/>
      <c r="C1585" s="6"/>
      <c r="D1585" s="12"/>
      <c r="E1585" s="10" t="str">
        <f t="shared" si="121"/>
        <v/>
      </c>
      <c r="F1585" s="16"/>
      <c r="G1585" s="13"/>
      <c r="H1585" s="6"/>
      <c r="I1585" s="6"/>
      <c r="J1585" s="11" t="str">
        <f t="shared" si="122"/>
        <v/>
      </c>
      <c r="K1585" s="17" t="str">
        <f t="shared" si="123"/>
        <v/>
      </c>
      <c r="L1585" s="18" t="str">
        <f t="shared" si="124"/>
        <v/>
      </c>
      <c r="M1585" s="18" t="str">
        <f>IF(J1585&lt;&gt;-1,"",ROUND(F1585*IFERROR(INDEX(Stocuri!$G$5:$G$204,MATCH(D1585,Coduri,0)),0),2))</f>
        <v/>
      </c>
      <c r="N1585" s="19" t="str">
        <f t="shared" si="125"/>
        <v/>
      </c>
    </row>
    <row r="1586" spans="2:14" x14ac:dyDescent="0.2">
      <c r="B1586" s="15"/>
      <c r="C1586" s="6"/>
      <c r="D1586" s="12"/>
      <c r="E1586" s="10" t="str">
        <f t="shared" si="121"/>
        <v/>
      </c>
      <c r="F1586" s="16"/>
      <c r="G1586" s="13"/>
      <c r="H1586" s="6"/>
      <c r="I1586" s="6"/>
      <c r="J1586" s="11" t="str">
        <f t="shared" si="122"/>
        <v/>
      </c>
      <c r="K1586" s="17" t="str">
        <f t="shared" si="123"/>
        <v/>
      </c>
      <c r="L1586" s="18" t="str">
        <f t="shared" si="124"/>
        <v/>
      </c>
      <c r="M1586" s="18" t="str">
        <f>IF(J1586&lt;&gt;-1,"",ROUND(F1586*IFERROR(INDEX(Stocuri!$G$5:$G$204,MATCH(D1586,Coduri,0)),0),2))</f>
        <v/>
      </c>
      <c r="N1586" s="19" t="str">
        <f t="shared" si="125"/>
        <v/>
      </c>
    </row>
    <row r="1587" spans="2:14" x14ac:dyDescent="0.2">
      <c r="B1587" s="15"/>
      <c r="C1587" s="6"/>
      <c r="D1587" s="12"/>
      <c r="E1587" s="10" t="str">
        <f t="shared" si="121"/>
        <v/>
      </c>
      <c r="F1587" s="16"/>
      <c r="G1587" s="13"/>
      <c r="H1587" s="6"/>
      <c r="I1587" s="6"/>
      <c r="J1587" s="11" t="str">
        <f t="shared" si="122"/>
        <v/>
      </c>
      <c r="K1587" s="17" t="str">
        <f t="shared" si="123"/>
        <v/>
      </c>
      <c r="L1587" s="18" t="str">
        <f t="shared" si="124"/>
        <v/>
      </c>
      <c r="M1587" s="18" t="str">
        <f>IF(J1587&lt;&gt;-1,"",ROUND(F1587*IFERROR(INDEX(Stocuri!$G$5:$G$204,MATCH(D1587,Coduri,0)),0),2))</f>
        <v/>
      </c>
      <c r="N1587" s="19" t="str">
        <f t="shared" si="125"/>
        <v/>
      </c>
    </row>
    <row r="1588" spans="2:14" x14ac:dyDescent="0.2">
      <c r="B1588" s="15"/>
      <c r="C1588" s="6"/>
      <c r="D1588" s="12"/>
      <c r="E1588" s="10" t="str">
        <f t="shared" si="121"/>
        <v/>
      </c>
      <c r="F1588" s="16"/>
      <c r="G1588" s="13"/>
      <c r="H1588" s="6"/>
      <c r="I1588" s="6"/>
      <c r="J1588" s="11" t="str">
        <f t="shared" si="122"/>
        <v/>
      </c>
      <c r="K1588" s="17" t="str">
        <f t="shared" si="123"/>
        <v/>
      </c>
      <c r="L1588" s="18" t="str">
        <f t="shared" si="124"/>
        <v/>
      </c>
      <c r="M1588" s="18" t="str">
        <f>IF(J1588&lt;&gt;-1,"",ROUND(F1588*IFERROR(INDEX(Stocuri!$G$5:$G$204,MATCH(D1588,Coduri,0)),0),2))</f>
        <v/>
      </c>
      <c r="N1588" s="19" t="str">
        <f t="shared" si="125"/>
        <v/>
      </c>
    </row>
    <row r="1589" spans="2:14" x14ac:dyDescent="0.2">
      <c r="B1589" s="15"/>
      <c r="C1589" s="6"/>
      <c r="D1589" s="12"/>
      <c r="E1589" s="10" t="str">
        <f t="shared" si="121"/>
        <v/>
      </c>
      <c r="F1589" s="16"/>
      <c r="G1589" s="13"/>
      <c r="H1589" s="6"/>
      <c r="I1589" s="6"/>
      <c r="J1589" s="11" t="str">
        <f t="shared" si="122"/>
        <v/>
      </c>
      <c r="K1589" s="17" t="str">
        <f t="shared" si="123"/>
        <v/>
      </c>
      <c r="L1589" s="18" t="str">
        <f t="shared" si="124"/>
        <v/>
      </c>
      <c r="M1589" s="18" t="str">
        <f>IF(J1589&lt;&gt;-1,"",ROUND(F1589*IFERROR(INDEX(Stocuri!$G$5:$G$204,MATCH(D1589,Coduri,0)),0),2))</f>
        <v/>
      </c>
      <c r="N1589" s="19" t="str">
        <f t="shared" si="125"/>
        <v/>
      </c>
    </row>
    <row r="1590" spans="2:14" x14ac:dyDescent="0.2">
      <c r="B1590" s="15"/>
      <c r="C1590" s="6"/>
      <c r="D1590" s="12"/>
      <c r="E1590" s="10" t="str">
        <f t="shared" si="121"/>
        <v/>
      </c>
      <c r="F1590" s="16"/>
      <c r="G1590" s="13"/>
      <c r="H1590" s="6"/>
      <c r="I1590" s="6"/>
      <c r="J1590" s="11" t="str">
        <f t="shared" si="122"/>
        <v/>
      </c>
      <c r="K1590" s="17" t="str">
        <f t="shared" si="123"/>
        <v/>
      </c>
      <c r="L1590" s="18" t="str">
        <f t="shared" si="124"/>
        <v/>
      </c>
      <c r="M1590" s="18" t="str">
        <f>IF(J1590&lt;&gt;-1,"",ROUND(F1590*IFERROR(INDEX(Stocuri!$G$5:$G$204,MATCH(D1590,Coduri,0)),0),2))</f>
        <v/>
      </c>
      <c r="N1590" s="19" t="str">
        <f t="shared" si="125"/>
        <v/>
      </c>
    </row>
    <row r="1591" spans="2:14" x14ac:dyDescent="0.2">
      <c r="B1591" s="15"/>
      <c r="C1591" s="6"/>
      <c r="D1591" s="12"/>
      <c r="E1591" s="10" t="str">
        <f t="shared" si="121"/>
        <v/>
      </c>
      <c r="F1591" s="16"/>
      <c r="G1591" s="13"/>
      <c r="H1591" s="6"/>
      <c r="I1591" s="6"/>
      <c r="J1591" s="11" t="str">
        <f t="shared" si="122"/>
        <v/>
      </c>
      <c r="K1591" s="17" t="str">
        <f t="shared" si="123"/>
        <v/>
      </c>
      <c r="L1591" s="18" t="str">
        <f t="shared" si="124"/>
        <v/>
      </c>
      <c r="M1591" s="18" t="str">
        <f>IF(J1591&lt;&gt;-1,"",ROUND(F1591*IFERROR(INDEX(Stocuri!$G$5:$G$204,MATCH(D1591,Coduri,0)),0),2))</f>
        <v/>
      </c>
      <c r="N1591" s="19" t="str">
        <f t="shared" si="125"/>
        <v/>
      </c>
    </row>
    <row r="1592" spans="2:14" x14ac:dyDescent="0.2">
      <c r="B1592" s="15"/>
      <c r="C1592" s="6"/>
      <c r="D1592" s="12"/>
      <c r="E1592" s="10" t="str">
        <f t="shared" si="121"/>
        <v/>
      </c>
      <c r="F1592" s="16"/>
      <c r="G1592" s="13"/>
      <c r="H1592" s="6"/>
      <c r="I1592" s="6"/>
      <c r="J1592" s="11" t="str">
        <f t="shared" si="122"/>
        <v/>
      </c>
      <c r="K1592" s="17" t="str">
        <f t="shared" si="123"/>
        <v/>
      </c>
      <c r="L1592" s="18" t="str">
        <f t="shared" si="124"/>
        <v/>
      </c>
      <c r="M1592" s="18" t="str">
        <f>IF(J1592&lt;&gt;-1,"",ROUND(F1592*IFERROR(INDEX(Stocuri!$G$5:$G$204,MATCH(D1592,Coduri,0)),0),2))</f>
        <v/>
      </c>
      <c r="N1592" s="19" t="str">
        <f t="shared" si="125"/>
        <v/>
      </c>
    </row>
    <row r="1593" spans="2:14" x14ac:dyDescent="0.2">
      <c r="B1593" s="15"/>
      <c r="C1593" s="6"/>
      <c r="D1593" s="12"/>
      <c r="E1593" s="10" t="str">
        <f t="shared" si="121"/>
        <v/>
      </c>
      <c r="F1593" s="16"/>
      <c r="G1593" s="13"/>
      <c r="H1593" s="6"/>
      <c r="I1593" s="6"/>
      <c r="J1593" s="11" t="str">
        <f t="shared" si="122"/>
        <v/>
      </c>
      <c r="K1593" s="17" t="str">
        <f t="shared" si="123"/>
        <v/>
      </c>
      <c r="L1593" s="18" t="str">
        <f t="shared" si="124"/>
        <v/>
      </c>
      <c r="M1593" s="18" t="str">
        <f>IF(J1593&lt;&gt;-1,"",ROUND(F1593*IFERROR(INDEX(Stocuri!$G$5:$G$204,MATCH(D1593,Coduri,0)),0),2))</f>
        <v/>
      </c>
      <c r="N1593" s="19" t="str">
        <f t="shared" si="125"/>
        <v/>
      </c>
    </row>
    <row r="1594" spans="2:14" x14ac:dyDescent="0.2">
      <c r="B1594" s="15"/>
      <c r="C1594" s="6"/>
      <c r="D1594" s="12"/>
      <c r="E1594" s="10" t="str">
        <f t="shared" si="121"/>
        <v/>
      </c>
      <c r="F1594" s="16"/>
      <c r="G1594" s="13"/>
      <c r="H1594" s="6"/>
      <c r="I1594" s="6"/>
      <c r="J1594" s="11" t="str">
        <f t="shared" si="122"/>
        <v/>
      </c>
      <c r="K1594" s="17" t="str">
        <f t="shared" si="123"/>
        <v/>
      </c>
      <c r="L1594" s="18" t="str">
        <f t="shared" si="124"/>
        <v/>
      </c>
      <c r="M1594" s="18" t="str">
        <f>IF(J1594&lt;&gt;-1,"",ROUND(F1594*IFERROR(INDEX(Stocuri!$G$5:$G$204,MATCH(D1594,Coduri,0)),0),2))</f>
        <v/>
      </c>
      <c r="N1594" s="19" t="str">
        <f t="shared" si="125"/>
        <v/>
      </c>
    </row>
    <row r="1595" spans="2:14" x14ac:dyDescent="0.2">
      <c r="B1595" s="15"/>
      <c r="C1595" s="6"/>
      <c r="D1595" s="12"/>
      <c r="E1595" s="10" t="str">
        <f t="shared" si="121"/>
        <v/>
      </c>
      <c r="F1595" s="16"/>
      <c r="G1595" s="13"/>
      <c r="H1595" s="6"/>
      <c r="I1595" s="6"/>
      <c r="J1595" s="11" t="str">
        <f t="shared" si="122"/>
        <v/>
      </c>
      <c r="K1595" s="17" t="str">
        <f t="shared" si="123"/>
        <v/>
      </c>
      <c r="L1595" s="18" t="str">
        <f t="shared" si="124"/>
        <v/>
      </c>
      <c r="M1595" s="18" t="str">
        <f>IF(J1595&lt;&gt;-1,"",ROUND(F1595*IFERROR(INDEX(Stocuri!$G$5:$G$204,MATCH(D1595,Coduri,0)),0),2))</f>
        <v/>
      </c>
      <c r="N1595" s="19" t="str">
        <f t="shared" si="125"/>
        <v/>
      </c>
    </row>
    <row r="1596" spans="2:14" x14ac:dyDescent="0.2">
      <c r="B1596" s="15"/>
      <c r="C1596" s="6"/>
      <c r="D1596" s="12"/>
      <c r="E1596" s="10" t="str">
        <f t="shared" si="121"/>
        <v/>
      </c>
      <c r="F1596" s="16"/>
      <c r="G1596" s="13"/>
      <c r="H1596" s="6"/>
      <c r="I1596" s="6"/>
      <c r="J1596" s="11" t="str">
        <f t="shared" si="122"/>
        <v/>
      </c>
      <c r="K1596" s="17" t="str">
        <f t="shared" si="123"/>
        <v/>
      </c>
      <c r="L1596" s="18" t="str">
        <f t="shared" si="124"/>
        <v/>
      </c>
      <c r="M1596" s="18" t="str">
        <f>IF(J1596&lt;&gt;-1,"",ROUND(F1596*IFERROR(INDEX(Stocuri!$G$5:$G$204,MATCH(D1596,Coduri,0)),0),2))</f>
        <v/>
      </c>
      <c r="N1596" s="19" t="str">
        <f t="shared" si="125"/>
        <v/>
      </c>
    </row>
    <row r="1597" spans="2:14" x14ac:dyDescent="0.2">
      <c r="B1597" s="15"/>
      <c r="C1597" s="6"/>
      <c r="D1597" s="12"/>
      <c r="E1597" s="10" t="str">
        <f t="shared" si="121"/>
        <v/>
      </c>
      <c r="F1597" s="16"/>
      <c r="G1597" s="13"/>
      <c r="H1597" s="6"/>
      <c r="I1597" s="6"/>
      <c r="J1597" s="11" t="str">
        <f t="shared" si="122"/>
        <v/>
      </c>
      <c r="K1597" s="17" t="str">
        <f t="shared" si="123"/>
        <v/>
      </c>
      <c r="L1597" s="18" t="str">
        <f t="shared" si="124"/>
        <v/>
      </c>
      <c r="M1597" s="18" t="str">
        <f>IF(J1597&lt;&gt;-1,"",ROUND(F1597*IFERROR(INDEX(Stocuri!$G$5:$G$204,MATCH(D1597,Coduri,0)),0),2))</f>
        <v/>
      </c>
      <c r="N1597" s="19" t="str">
        <f t="shared" si="125"/>
        <v/>
      </c>
    </row>
    <row r="1598" spans="2:14" x14ac:dyDescent="0.2">
      <c r="B1598" s="15"/>
      <c r="C1598" s="6"/>
      <c r="D1598" s="12"/>
      <c r="E1598" s="10" t="str">
        <f t="shared" si="121"/>
        <v/>
      </c>
      <c r="F1598" s="16"/>
      <c r="G1598" s="13"/>
      <c r="H1598" s="6"/>
      <c r="I1598" s="6"/>
      <c r="J1598" s="11" t="str">
        <f t="shared" si="122"/>
        <v/>
      </c>
      <c r="K1598" s="17" t="str">
        <f t="shared" si="123"/>
        <v/>
      </c>
      <c r="L1598" s="18" t="str">
        <f t="shared" si="124"/>
        <v/>
      </c>
      <c r="M1598" s="18" t="str">
        <f>IF(J1598&lt;&gt;-1,"",ROUND(F1598*IFERROR(INDEX(Stocuri!$G$5:$G$204,MATCH(D1598,Coduri,0)),0),2))</f>
        <v/>
      </c>
      <c r="N1598" s="19" t="str">
        <f t="shared" si="125"/>
        <v/>
      </c>
    </row>
    <row r="1599" spans="2:14" x14ac:dyDescent="0.2">
      <c r="B1599" s="15"/>
      <c r="C1599" s="6"/>
      <c r="D1599" s="12"/>
      <c r="E1599" s="10" t="str">
        <f t="shared" si="121"/>
        <v/>
      </c>
      <c r="F1599" s="16"/>
      <c r="G1599" s="13"/>
      <c r="H1599" s="6"/>
      <c r="I1599" s="6"/>
      <c r="J1599" s="11" t="str">
        <f t="shared" si="122"/>
        <v/>
      </c>
      <c r="K1599" s="17" t="str">
        <f t="shared" si="123"/>
        <v/>
      </c>
      <c r="L1599" s="18" t="str">
        <f t="shared" si="124"/>
        <v/>
      </c>
      <c r="M1599" s="18" t="str">
        <f>IF(J1599&lt;&gt;-1,"",ROUND(F1599*IFERROR(INDEX(Stocuri!$G$5:$G$204,MATCH(D1599,Coduri,0)),0),2))</f>
        <v/>
      </c>
      <c r="N1599" s="19" t="str">
        <f t="shared" si="125"/>
        <v/>
      </c>
    </row>
    <row r="1600" spans="2:14" x14ac:dyDescent="0.2">
      <c r="B1600" s="15"/>
      <c r="C1600" s="6"/>
      <c r="D1600" s="12"/>
      <c r="E1600" s="10" t="str">
        <f t="shared" si="121"/>
        <v/>
      </c>
      <c r="F1600" s="16"/>
      <c r="G1600" s="13"/>
      <c r="H1600" s="6"/>
      <c r="I1600" s="6"/>
      <c r="J1600" s="11" t="str">
        <f t="shared" si="122"/>
        <v/>
      </c>
      <c r="K1600" s="17" t="str">
        <f t="shared" si="123"/>
        <v/>
      </c>
      <c r="L1600" s="18" t="str">
        <f t="shared" si="124"/>
        <v/>
      </c>
      <c r="M1600" s="18" t="str">
        <f>IF(J1600&lt;&gt;-1,"",ROUND(F1600*IFERROR(INDEX(Stocuri!$G$5:$G$204,MATCH(D1600,Coduri,0)),0),2))</f>
        <v/>
      </c>
      <c r="N1600" s="19" t="str">
        <f t="shared" si="125"/>
        <v/>
      </c>
    </row>
    <row r="1601" spans="2:14" x14ac:dyDescent="0.2">
      <c r="B1601" s="15"/>
      <c r="C1601" s="6"/>
      <c r="D1601" s="12"/>
      <c r="E1601" s="10" t="str">
        <f t="shared" si="121"/>
        <v/>
      </c>
      <c r="F1601" s="16"/>
      <c r="G1601" s="13"/>
      <c r="H1601" s="6"/>
      <c r="I1601" s="6"/>
      <c r="J1601" s="11" t="str">
        <f t="shared" si="122"/>
        <v/>
      </c>
      <c r="K1601" s="17" t="str">
        <f t="shared" si="123"/>
        <v/>
      </c>
      <c r="L1601" s="18" t="str">
        <f t="shared" si="124"/>
        <v/>
      </c>
      <c r="M1601" s="18" t="str">
        <f>IF(J1601&lt;&gt;-1,"",ROUND(F1601*IFERROR(INDEX(Stocuri!$G$5:$G$204,MATCH(D1601,Coduri,0)),0),2))</f>
        <v/>
      </c>
      <c r="N1601" s="19" t="str">
        <f t="shared" si="125"/>
        <v/>
      </c>
    </row>
    <row r="1602" spans="2:14" x14ac:dyDescent="0.2">
      <c r="B1602" s="15"/>
      <c r="C1602" s="6"/>
      <c r="D1602" s="12"/>
      <c r="E1602" s="10" t="str">
        <f t="shared" si="121"/>
        <v/>
      </c>
      <c r="F1602" s="16"/>
      <c r="G1602" s="13"/>
      <c r="H1602" s="6"/>
      <c r="I1602" s="6"/>
      <c r="J1602" s="11" t="str">
        <f t="shared" si="122"/>
        <v/>
      </c>
      <c r="K1602" s="17" t="str">
        <f t="shared" si="123"/>
        <v/>
      </c>
      <c r="L1602" s="18" t="str">
        <f t="shared" si="124"/>
        <v/>
      </c>
      <c r="M1602" s="18" t="str">
        <f>IF(J1602&lt;&gt;-1,"",ROUND(F1602*IFERROR(INDEX(Stocuri!$G$5:$G$204,MATCH(D1602,Coduri,0)),0),2))</f>
        <v/>
      </c>
      <c r="N1602" s="19" t="str">
        <f t="shared" si="125"/>
        <v/>
      </c>
    </row>
    <row r="1603" spans="2:14" x14ac:dyDescent="0.2">
      <c r="B1603" s="15"/>
      <c r="C1603" s="6"/>
      <c r="D1603" s="12"/>
      <c r="E1603" s="10" t="str">
        <f t="shared" si="121"/>
        <v/>
      </c>
      <c r="F1603" s="16"/>
      <c r="G1603" s="13"/>
      <c r="H1603" s="6"/>
      <c r="I1603" s="6"/>
      <c r="J1603" s="11" t="str">
        <f t="shared" si="122"/>
        <v/>
      </c>
      <c r="K1603" s="17" t="str">
        <f t="shared" si="123"/>
        <v/>
      </c>
      <c r="L1603" s="18" t="str">
        <f t="shared" si="124"/>
        <v/>
      </c>
      <c r="M1603" s="18" t="str">
        <f>IF(J1603&lt;&gt;-1,"",ROUND(F1603*IFERROR(INDEX(Stocuri!$G$5:$G$204,MATCH(D1603,Coduri,0)),0),2))</f>
        <v/>
      </c>
      <c r="N1603" s="19" t="str">
        <f t="shared" si="125"/>
        <v/>
      </c>
    </row>
    <row r="1604" spans="2:14" x14ac:dyDescent="0.2">
      <c r="B1604" s="15"/>
      <c r="C1604" s="6"/>
      <c r="D1604" s="12"/>
      <c r="E1604" s="10" t="str">
        <f t="shared" si="121"/>
        <v/>
      </c>
      <c r="F1604" s="16"/>
      <c r="G1604" s="13"/>
      <c r="H1604" s="6"/>
      <c r="I1604" s="6"/>
      <c r="J1604" s="11" t="str">
        <f t="shared" si="122"/>
        <v/>
      </c>
      <c r="K1604" s="17" t="str">
        <f t="shared" si="123"/>
        <v/>
      </c>
      <c r="L1604" s="18" t="str">
        <f t="shared" si="124"/>
        <v/>
      </c>
      <c r="M1604" s="18" t="str">
        <f>IF(J1604&lt;&gt;-1,"",ROUND(F1604*IFERROR(INDEX(Stocuri!$G$5:$G$204,MATCH(D1604,Coduri,0)),0),2))</f>
        <v/>
      </c>
      <c r="N1604" s="19" t="str">
        <f t="shared" si="125"/>
        <v/>
      </c>
    </row>
    <row r="1605" spans="2:14" x14ac:dyDescent="0.2">
      <c r="B1605" s="15"/>
      <c r="C1605" s="6"/>
      <c r="D1605" s="12"/>
      <c r="E1605" s="10" t="str">
        <f t="shared" ref="E1605:E1668" si="126">IF(D1605="","",IFERROR(VLOOKUP(D1605,Catalog,2,FALSE),""))</f>
        <v/>
      </c>
      <c r="F1605" s="16"/>
      <c r="G1605" s="13"/>
      <c r="H1605" s="6"/>
      <c r="I1605" s="6"/>
      <c r="J1605" s="11" t="str">
        <f t="shared" ref="J1605:J1668" si="127">IF(C1605="","",IFERROR(VLOOKUP(C1605,TipSemn,2,FALSE),""))</f>
        <v/>
      </c>
      <c r="K1605" s="17" t="str">
        <f t="shared" ref="K1605:K1668" si="128">IF(OR(J1605="",F1605=""),"",J1605*F1605)</f>
        <v/>
      </c>
      <c r="L1605" s="18" t="str">
        <f t="shared" ref="L1605:L1668" si="129">IF(OR(J1605&lt;&gt;1,G1605=""),"",ROUND(F1605*G1605,2))</f>
        <v/>
      </c>
      <c r="M1605" s="18" t="str">
        <f>IF(J1605&lt;&gt;-1,"",ROUND(F1605*IFERROR(INDEX(Stocuri!$G$5:$G$204,MATCH(D1605,Coduri,0)),0),2))</f>
        <v/>
      </c>
      <c r="N1605" s="19" t="str">
        <f t="shared" ref="N1605:N1668" si="130">IF(AND(B1605="",D1605=""),"",TRIM(IF(OR(B1605="",C1605="",D1605="",F1605=""),"Date incomplete. ","")&amp;IF(AND(D1605&lt;&gt;"",E1605=""),"Cod necunoscut. ","")&amp;IF(AND(J1605=1,C1605&lt;&gt;"Retur de la client",C1605&lt;&gt;"Ajustare inventar +",G1605=""),"Lipsește prețul de intrare. ","")&amp;IF(AND(J1605=-1,D1605&lt;&gt;"",SUMIFS($K$5:$K$2004,$D$5:$D$2004,D1605,$B$5:$B$2004,"&lt;="&amp;B1605)&lt;0),"Stoc insuficient la această dată. ","")&amp;IF(AND(C1605&lt;&gt;"Stoc inițial",H1605=""),"Lipsește documentul. ","")))</f>
        <v/>
      </c>
    </row>
    <row r="1606" spans="2:14" x14ac:dyDescent="0.2">
      <c r="B1606" s="15"/>
      <c r="C1606" s="6"/>
      <c r="D1606" s="12"/>
      <c r="E1606" s="10" t="str">
        <f t="shared" si="126"/>
        <v/>
      </c>
      <c r="F1606" s="16"/>
      <c r="G1606" s="13"/>
      <c r="H1606" s="6"/>
      <c r="I1606" s="6"/>
      <c r="J1606" s="11" t="str">
        <f t="shared" si="127"/>
        <v/>
      </c>
      <c r="K1606" s="17" t="str">
        <f t="shared" si="128"/>
        <v/>
      </c>
      <c r="L1606" s="18" t="str">
        <f t="shared" si="129"/>
        <v/>
      </c>
      <c r="M1606" s="18" t="str">
        <f>IF(J1606&lt;&gt;-1,"",ROUND(F1606*IFERROR(INDEX(Stocuri!$G$5:$G$204,MATCH(D1606,Coduri,0)),0),2))</f>
        <v/>
      </c>
      <c r="N1606" s="19" t="str">
        <f t="shared" si="130"/>
        <v/>
      </c>
    </row>
    <row r="1607" spans="2:14" x14ac:dyDescent="0.2">
      <c r="B1607" s="15"/>
      <c r="C1607" s="6"/>
      <c r="D1607" s="12"/>
      <c r="E1607" s="10" t="str">
        <f t="shared" si="126"/>
        <v/>
      </c>
      <c r="F1607" s="16"/>
      <c r="G1607" s="13"/>
      <c r="H1607" s="6"/>
      <c r="I1607" s="6"/>
      <c r="J1607" s="11" t="str">
        <f t="shared" si="127"/>
        <v/>
      </c>
      <c r="K1607" s="17" t="str">
        <f t="shared" si="128"/>
        <v/>
      </c>
      <c r="L1607" s="18" t="str">
        <f t="shared" si="129"/>
        <v/>
      </c>
      <c r="M1607" s="18" t="str">
        <f>IF(J1607&lt;&gt;-1,"",ROUND(F1607*IFERROR(INDEX(Stocuri!$G$5:$G$204,MATCH(D1607,Coduri,0)),0),2))</f>
        <v/>
      </c>
      <c r="N1607" s="19" t="str">
        <f t="shared" si="130"/>
        <v/>
      </c>
    </row>
    <row r="1608" spans="2:14" x14ac:dyDescent="0.2">
      <c r="B1608" s="15"/>
      <c r="C1608" s="6"/>
      <c r="D1608" s="12"/>
      <c r="E1608" s="10" t="str">
        <f t="shared" si="126"/>
        <v/>
      </c>
      <c r="F1608" s="16"/>
      <c r="G1608" s="13"/>
      <c r="H1608" s="6"/>
      <c r="I1608" s="6"/>
      <c r="J1608" s="11" t="str">
        <f t="shared" si="127"/>
        <v/>
      </c>
      <c r="K1608" s="17" t="str">
        <f t="shared" si="128"/>
        <v/>
      </c>
      <c r="L1608" s="18" t="str">
        <f t="shared" si="129"/>
        <v/>
      </c>
      <c r="M1608" s="18" t="str">
        <f>IF(J1608&lt;&gt;-1,"",ROUND(F1608*IFERROR(INDEX(Stocuri!$G$5:$G$204,MATCH(D1608,Coduri,0)),0),2))</f>
        <v/>
      </c>
      <c r="N1608" s="19" t="str">
        <f t="shared" si="130"/>
        <v/>
      </c>
    </row>
    <row r="1609" spans="2:14" x14ac:dyDescent="0.2">
      <c r="B1609" s="15"/>
      <c r="C1609" s="6"/>
      <c r="D1609" s="12"/>
      <c r="E1609" s="10" t="str">
        <f t="shared" si="126"/>
        <v/>
      </c>
      <c r="F1609" s="16"/>
      <c r="G1609" s="13"/>
      <c r="H1609" s="6"/>
      <c r="I1609" s="6"/>
      <c r="J1609" s="11" t="str">
        <f t="shared" si="127"/>
        <v/>
      </c>
      <c r="K1609" s="17" t="str">
        <f t="shared" si="128"/>
        <v/>
      </c>
      <c r="L1609" s="18" t="str">
        <f t="shared" si="129"/>
        <v/>
      </c>
      <c r="M1609" s="18" t="str">
        <f>IF(J1609&lt;&gt;-1,"",ROUND(F1609*IFERROR(INDEX(Stocuri!$G$5:$G$204,MATCH(D1609,Coduri,0)),0),2))</f>
        <v/>
      </c>
      <c r="N1609" s="19" t="str">
        <f t="shared" si="130"/>
        <v/>
      </c>
    </row>
    <row r="1610" spans="2:14" x14ac:dyDescent="0.2">
      <c r="B1610" s="15"/>
      <c r="C1610" s="6"/>
      <c r="D1610" s="12"/>
      <c r="E1610" s="10" t="str">
        <f t="shared" si="126"/>
        <v/>
      </c>
      <c r="F1610" s="16"/>
      <c r="G1610" s="13"/>
      <c r="H1610" s="6"/>
      <c r="I1610" s="6"/>
      <c r="J1610" s="11" t="str">
        <f t="shared" si="127"/>
        <v/>
      </c>
      <c r="K1610" s="17" t="str">
        <f t="shared" si="128"/>
        <v/>
      </c>
      <c r="L1610" s="18" t="str">
        <f t="shared" si="129"/>
        <v/>
      </c>
      <c r="M1610" s="18" t="str">
        <f>IF(J1610&lt;&gt;-1,"",ROUND(F1610*IFERROR(INDEX(Stocuri!$G$5:$G$204,MATCH(D1610,Coduri,0)),0),2))</f>
        <v/>
      </c>
      <c r="N1610" s="19" t="str">
        <f t="shared" si="130"/>
        <v/>
      </c>
    </row>
    <row r="1611" spans="2:14" x14ac:dyDescent="0.2">
      <c r="B1611" s="15"/>
      <c r="C1611" s="6"/>
      <c r="D1611" s="12"/>
      <c r="E1611" s="10" t="str">
        <f t="shared" si="126"/>
        <v/>
      </c>
      <c r="F1611" s="16"/>
      <c r="G1611" s="13"/>
      <c r="H1611" s="6"/>
      <c r="I1611" s="6"/>
      <c r="J1611" s="11" t="str">
        <f t="shared" si="127"/>
        <v/>
      </c>
      <c r="K1611" s="17" t="str">
        <f t="shared" si="128"/>
        <v/>
      </c>
      <c r="L1611" s="18" t="str">
        <f t="shared" si="129"/>
        <v/>
      </c>
      <c r="M1611" s="18" t="str">
        <f>IF(J1611&lt;&gt;-1,"",ROUND(F1611*IFERROR(INDEX(Stocuri!$G$5:$G$204,MATCH(D1611,Coduri,0)),0),2))</f>
        <v/>
      </c>
      <c r="N1611" s="19" t="str">
        <f t="shared" si="130"/>
        <v/>
      </c>
    </row>
    <row r="1612" spans="2:14" x14ac:dyDescent="0.2">
      <c r="B1612" s="15"/>
      <c r="C1612" s="6"/>
      <c r="D1612" s="12"/>
      <c r="E1612" s="10" t="str">
        <f t="shared" si="126"/>
        <v/>
      </c>
      <c r="F1612" s="16"/>
      <c r="G1612" s="13"/>
      <c r="H1612" s="6"/>
      <c r="I1612" s="6"/>
      <c r="J1612" s="11" t="str">
        <f t="shared" si="127"/>
        <v/>
      </c>
      <c r="K1612" s="17" t="str">
        <f t="shared" si="128"/>
        <v/>
      </c>
      <c r="L1612" s="18" t="str">
        <f t="shared" si="129"/>
        <v/>
      </c>
      <c r="M1612" s="18" t="str">
        <f>IF(J1612&lt;&gt;-1,"",ROUND(F1612*IFERROR(INDEX(Stocuri!$G$5:$G$204,MATCH(D1612,Coduri,0)),0),2))</f>
        <v/>
      </c>
      <c r="N1612" s="19" t="str">
        <f t="shared" si="130"/>
        <v/>
      </c>
    </row>
    <row r="1613" spans="2:14" x14ac:dyDescent="0.2">
      <c r="B1613" s="15"/>
      <c r="C1613" s="6"/>
      <c r="D1613" s="12"/>
      <c r="E1613" s="10" t="str">
        <f t="shared" si="126"/>
        <v/>
      </c>
      <c r="F1613" s="16"/>
      <c r="G1613" s="13"/>
      <c r="H1613" s="6"/>
      <c r="I1613" s="6"/>
      <c r="J1613" s="11" t="str">
        <f t="shared" si="127"/>
        <v/>
      </c>
      <c r="K1613" s="17" t="str">
        <f t="shared" si="128"/>
        <v/>
      </c>
      <c r="L1613" s="18" t="str">
        <f t="shared" si="129"/>
        <v/>
      </c>
      <c r="M1613" s="18" t="str">
        <f>IF(J1613&lt;&gt;-1,"",ROUND(F1613*IFERROR(INDEX(Stocuri!$G$5:$G$204,MATCH(D1613,Coduri,0)),0),2))</f>
        <v/>
      </c>
      <c r="N1613" s="19" t="str">
        <f t="shared" si="130"/>
        <v/>
      </c>
    </row>
    <row r="1614" spans="2:14" x14ac:dyDescent="0.2">
      <c r="B1614" s="15"/>
      <c r="C1614" s="6"/>
      <c r="D1614" s="12"/>
      <c r="E1614" s="10" t="str">
        <f t="shared" si="126"/>
        <v/>
      </c>
      <c r="F1614" s="16"/>
      <c r="G1614" s="13"/>
      <c r="H1614" s="6"/>
      <c r="I1614" s="6"/>
      <c r="J1614" s="11" t="str">
        <f t="shared" si="127"/>
        <v/>
      </c>
      <c r="K1614" s="17" t="str">
        <f t="shared" si="128"/>
        <v/>
      </c>
      <c r="L1614" s="18" t="str">
        <f t="shared" si="129"/>
        <v/>
      </c>
      <c r="M1614" s="18" t="str">
        <f>IF(J1614&lt;&gt;-1,"",ROUND(F1614*IFERROR(INDEX(Stocuri!$G$5:$G$204,MATCH(D1614,Coduri,0)),0),2))</f>
        <v/>
      </c>
      <c r="N1614" s="19" t="str">
        <f t="shared" si="130"/>
        <v/>
      </c>
    </row>
    <row r="1615" spans="2:14" x14ac:dyDescent="0.2">
      <c r="B1615" s="15"/>
      <c r="C1615" s="6"/>
      <c r="D1615" s="12"/>
      <c r="E1615" s="10" t="str">
        <f t="shared" si="126"/>
        <v/>
      </c>
      <c r="F1615" s="16"/>
      <c r="G1615" s="13"/>
      <c r="H1615" s="6"/>
      <c r="I1615" s="6"/>
      <c r="J1615" s="11" t="str">
        <f t="shared" si="127"/>
        <v/>
      </c>
      <c r="K1615" s="17" t="str">
        <f t="shared" si="128"/>
        <v/>
      </c>
      <c r="L1615" s="18" t="str">
        <f t="shared" si="129"/>
        <v/>
      </c>
      <c r="M1615" s="18" t="str">
        <f>IF(J1615&lt;&gt;-1,"",ROUND(F1615*IFERROR(INDEX(Stocuri!$G$5:$G$204,MATCH(D1615,Coduri,0)),0),2))</f>
        <v/>
      </c>
      <c r="N1615" s="19" t="str">
        <f t="shared" si="130"/>
        <v/>
      </c>
    </row>
    <row r="1616" spans="2:14" x14ac:dyDescent="0.2">
      <c r="B1616" s="15"/>
      <c r="C1616" s="6"/>
      <c r="D1616" s="12"/>
      <c r="E1616" s="10" t="str">
        <f t="shared" si="126"/>
        <v/>
      </c>
      <c r="F1616" s="16"/>
      <c r="G1616" s="13"/>
      <c r="H1616" s="6"/>
      <c r="I1616" s="6"/>
      <c r="J1616" s="11" t="str">
        <f t="shared" si="127"/>
        <v/>
      </c>
      <c r="K1616" s="17" t="str">
        <f t="shared" si="128"/>
        <v/>
      </c>
      <c r="L1616" s="18" t="str">
        <f t="shared" si="129"/>
        <v/>
      </c>
      <c r="M1616" s="18" t="str">
        <f>IF(J1616&lt;&gt;-1,"",ROUND(F1616*IFERROR(INDEX(Stocuri!$G$5:$G$204,MATCH(D1616,Coduri,0)),0),2))</f>
        <v/>
      </c>
      <c r="N1616" s="19" t="str">
        <f t="shared" si="130"/>
        <v/>
      </c>
    </row>
    <row r="1617" spans="2:14" x14ac:dyDescent="0.2">
      <c r="B1617" s="15"/>
      <c r="C1617" s="6"/>
      <c r="D1617" s="12"/>
      <c r="E1617" s="10" t="str">
        <f t="shared" si="126"/>
        <v/>
      </c>
      <c r="F1617" s="16"/>
      <c r="G1617" s="13"/>
      <c r="H1617" s="6"/>
      <c r="I1617" s="6"/>
      <c r="J1617" s="11" t="str">
        <f t="shared" si="127"/>
        <v/>
      </c>
      <c r="K1617" s="17" t="str">
        <f t="shared" si="128"/>
        <v/>
      </c>
      <c r="L1617" s="18" t="str">
        <f t="shared" si="129"/>
        <v/>
      </c>
      <c r="M1617" s="18" t="str">
        <f>IF(J1617&lt;&gt;-1,"",ROUND(F1617*IFERROR(INDEX(Stocuri!$G$5:$G$204,MATCH(D1617,Coduri,0)),0),2))</f>
        <v/>
      </c>
      <c r="N1617" s="19" t="str">
        <f t="shared" si="130"/>
        <v/>
      </c>
    </row>
    <row r="1618" spans="2:14" x14ac:dyDescent="0.2">
      <c r="B1618" s="15"/>
      <c r="C1618" s="6"/>
      <c r="D1618" s="12"/>
      <c r="E1618" s="10" t="str">
        <f t="shared" si="126"/>
        <v/>
      </c>
      <c r="F1618" s="16"/>
      <c r="G1618" s="13"/>
      <c r="H1618" s="6"/>
      <c r="I1618" s="6"/>
      <c r="J1618" s="11" t="str">
        <f t="shared" si="127"/>
        <v/>
      </c>
      <c r="K1618" s="17" t="str">
        <f t="shared" si="128"/>
        <v/>
      </c>
      <c r="L1618" s="18" t="str">
        <f t="shared" si="129"/>
        <v/>
      </c>
      <c r="M1618" s="18" t="str">
        <f>IF(J1618&lt;&gt;-1,"",ROUND(F1618*IFERROR(INDEX(Stocuri!$G$5:$G$204,MATCH(D1618,Coduri,0)),0),2))</f>
        <v/>
      </c>
      <c r="N1618" s="19" t="str">
        <f t="shared" si="130"/>
        <v/>
      </c>
    </row>
    <row r="1619" spans="2:14" x14ac:dyDescent="0.2">
      <c r="B1619" s="15"/>
      <c r="C1619" s="6"/>
      <c r="D1619" s="12"/>
      <c r="E1619" s="10" t="str">
        <f t="shared" si="126"/>
        <v/>
      </c>
      <c r="F1619" s="16"/>
      <c r="G1619" s="13"/>
      <c r="H1619" s="6"/>
      <c r="I1619" s="6"/>
      <c r="J1619" s="11" t="str">
        <f t="shared" si="127"/>
        <v/>
      </c>
      <c r="K1619" s="17" t="str">
        <f t="shared" si="128"/>
        <v/>
      </c>
      <c r="L1619" s="18" t="str">
        <f t="shared" si="129"/>
        <v/>
      </c>
      <c r="M1619" s="18" t="str">
        <f>IF(J1619&lt;&gt;-1,"",ROUND(F1619*IFERROR(INDEX(Stocuri!$G$5:$G$204,MATCH(D1619,Coduri,0)),0),2))</f>
        <v/>
      </c>
      <c r="N1619" s="19" t="str">
        <f t="shared" si="130"/>
        <v/>
      </c>
    </row>
    <row r="1620" spans="2:14" x14ac:dyDescent="0.2">
      <c r="B1620" s="15"/>
      <c r="C1620" s="6"/>
      <c r="D1620" s="12"/>
      <c r="E1620" s="10" t="str">
        <f t="shared" si="126"/>
        <v/>
      </c>
      <c r="F1620" s="16"/>
      <c r="G1620" s="13"/>
      <c r="H1620" s="6"/>
      <c r="I1620" s="6"/>
      <c r="J1620" s="11" t="str">
        <f t="shared" si="127"/>
        <v/>
      </c>
      <c r="K1620" s="17" t="str">
        <f t="shared" si="128"/>
        <v/>
      </c>
      <c r="L1620" s="18" t="str">
        <f t="shared" si="129"/>
        <v/>
      </c>
      <c r="M1620" s="18" t="str">
        <f>IF(J1620&lt;&gt;-1,"",ROUND(F1620*IFERROR(INDEX(Stocuri!$G$5:$G$204,MATCH(D1620,Coduri,0)),0),2))</f>
        <v/>
      </c>
      <c r="N1620" s="19" t="str">
        <f t="shared" si="130"/>
        <v/>
      </c>
    </row>
    <row r="1621" spans="2:14" x14ac:dyDescent="0.2">
      <c r="B1621" s="15"/>
      <c r="C1621" s="6"/>
      <c r="D1621" s="12"/>
      <c r="E1621" s="10" t="str">
        <f t="shared" si="126"/>
        <v/>
      </c>
      <c r="F1621" s="16"/>
      <c r="G1621" s="13"/>
      <c r="H1621" s="6"/>
      <c r="I1621" s="6"/>
      <c r="J1621" s="11" t="str">
        <f t="shared" si="127"/>
        <v/>
      </c>
      <c r="K1621" s="17" t="str">
        <f t="shared" si="128"/>
        <v/>
      </c>
      <c r="L1621" s="18" t="str">
        <f t="shared" si="129"/>
        <v/>
      </c>
      <c r="M1621" s="18" t="str">
        <f>IF(J1621&lt;&gt;-1,"",ROUND(F1621*IFERROR(INDEX(Stocuri!$G$5:$G$204,MATCH(D1621,Coduri,0)),0),2))</f>
        <v/>
      </c>
      <c r="N1621" s="19" t="str">
        <f t="shared" si="130"/>
        <v/>
      </c>
    </row>
    <row r="1622" spans="2:14" x14ac:dyDescent="0.2">
      <c r="B1622" s="15"/>
      <c r="C1622" s="6"/>
      <c r="D1622" s="12"/>
      <c r="E1622" s="10" t="str">
        <f t="shared" si="126"/>
        <v/>
      </c>
      <c r="F1622" s="16"/>
      <c r="G1622" s="13"/>
      <c r="H1622" s="6"/>
      <c r="I1622" s="6"/>
      <c r="J1622" s="11" t="str">
        <f t="shared" si="127"/>
        <v/>
      </c>
      <c r="K1622" s="17" t="str">
        <f t="shared" si="128"/>
        <v/>
      </c>
      <c r="L1622" s="18" t="str">
        <f t="shared" si="129"/>
        <v/>
      </c>
      <c r="M1622" s="18" t="str">
        <f>IF(J1622&lt;&gt;-1,"",ROUND(F1622*IFERROR(INDEX(Stocuri!$G$5:$G$204,MATCH(D1622,Coduri,0)),0),2))</f>
        <v/>
      </c>
      <c r="N1622" s="19" t="str">
        <f t="shared" si="130"/>
        <v/>
      </c>
    </row>
    <row r="1623" spans="2:14" x14ac:dyDescent="0.2">
      <c r="B1623" s="15"/>
      <c r="C1623" s="6"/>
      <c r="D1623" s="12"/>
      <c r="E1623" s="10" t="str">
        <f t="shared" si="126"/>
        <v/>
      </c>
      <c r="F1623" s="16"/>
      <c r="G1623" s="13"/>
      <c r="H1623" s="6"/>
      <c r="I1623" s="6"/>
      <c r="J1623" s="11" t="str">
        <f t="shared" si="127"/>
        <v/>
      </c>
      <c r="K1623" s="17" t="str">
        <f t="shared" si="128"/>
        <v/>
      </c>
      <c r="L1623" s="18" t="str">
        <f t="shared" si="129"/>
        <v/>
      </c>
      <c r="M1623" s="18" t="str">
        <f>IF(J1623&lt;&gt;-1,"",ROUND(F1623*IFERROR(INDEX(Stocuri!$G$5:$G$204,MATCH(D1623,Coduri,0)),0),2))</f>
        <v/>
      </c>
      <c r="N1623" s="19" t="str">
        <f t="shared" si="130"/>
        <v/>
      </c>
    </row>
    <row r="1624" spans="2:14" x14ac:dyDescent="0.2">
      <c r="B1624" s="15"/>
      <c r="C1624" s="6"/>
      <c r="D1624" s="12"/>
      <c r="E1624" s="10" t="str">
        <f t="shared" si="126"/>
        <v/>
      </c>
      <c r="F1624" s="16"/>
      <c r="G1624" s="13"/>
      <c r="H1624" s="6"/>
      <c r="I1624" s="6"/>
      <c r="J1624" s="11" t="str">
        <f t="shared" si="127"/>
        <v/>
      </c>
      <c r="K1624" s="17" t="str">
        <f t="shared" si="128"/>
        <v/>
      </c>
      <c r="L1624" s="18" t="str">
        <f t="shared" si="129"/>
        <v/>
      </c>
      <c r="M1624" s="18" t="str">
        <f>IF(J1624&lt;&gt;-1,"",ROUND(F1624*IFERROR(INDEX(Stocuri!$G$5:$G$204,MATCH(D1624,Coduri,0)),0),2))</f>
        <v/>
      </c>
      <c r="N1624" s="19" t="str">
        <f t="shared" si="130"/>
        <v/>
      </c>
    </row>
    <row r="1625" spans="2:14" x14ac:dyDescent="0.2">
      <c r="B1625" s="15"/>
      <c r="C1625" s="6"/>
      <c r="D1625" s="12"/>
      <c r="E1625" s="10" t="str">
        <f t="shared" si="126"/>
        <v/>
      </c>
      <c r="F1625" s="16"/>
      <c r="G1625" s="13"/>
      <c r="H1625" s="6"/>
      <c r="I1625" s="6"/>
      <c r="J1625" s="11" t="str">
        <f t="shared" si="127"/>
        <v/>
      </c>
      <c r="K1625" s="17" t="str">
        <f t="shared" si="128"/>
        <v/>
      </c>
      <c r="L1625" s="18" t="str">
        <f t="shared" si="129"/>
        <v/>
      </c>
      <c r="M1625" s="18" t="str">
        <f>IF(J1625&lt;&gt;-1,"",ROUND(F1625*IFERROR(INDEX(Stocuri!$G$5:$G$204,MATCH(D1625,Coduri,0)),0),2))</f>
        <v/>
      </c>
      <c r="N1625" s="19" t="str">
        <f t="shared" si="130"/>
        <v/>
      </c>
    </row>
    <row r="1626" spans="2:14" x14ac:dyDescent="0.2">
      <c r="B1626" s="15"/>
      <c r="C1626" s="6"/>
      <c r="D1626" s="12"/>
      <c r="E1626" s="10" t="str">
        <f t="shared" si="126"/>
        <v/>
      </c>
      <c r="F1626" s="16"/>
      <c r="G1626" s="13"/>
      <c r="H1626" s="6"/>
      <c r="I1626" s="6"/>
      <c r="J1626" s="11" t="str">
        <f t="shared" si="127"/>
        <v/>
      </c>
      <c r="K1626" s="17" t="str">
        <f t="shared" si="128"/>
        <v/>
      </c>
      <c r="L1626" s="18" t="str">
        <f t="shared" si="129"/>
        <v/>
      </c>
      <c r="M1626" s="18" t="str">
        <f>IF(J1626&lt;&gt;-1,"",ROUND(F1626*IFERROR(INDEX(Stocuri!$G$5:$G$204,MATCH(D1626,Coduri,0)),0),2))</f>
        <v/>
      </c>
      <c r="N1626" s="19" t="str">
        <f t="shared" si="130"/>
        <v/>
      </c>
    </row>
    <row r="1627" spans="2:14" x14ac:dyDescent="0.2">
      <c r="B1627" s="15"/>
      <c r="C1627" s="6"/>
      <c r="D1627" s="12"/>
      <c r="E1627" s="10" t="str">
        <f t="shared" si="126"/>
        <v/>
      </c>
      <c r="F1627" s="16"/>
      <c r="G1627" s="13"/>
      <c r="H1627" s="6"/>
      <c r="I1627" s="6"/>
      <c r="J1627" s="11" t="str">
        <f t="shared" si="127"/>
        <v/>
      </c>
      <c r="K1627" s="17" t="str">
        <f t="shared" si="128"/>
        <v/>
      </c>
      <c r="L1627" s="18" t="str">
        <f t="shared" si="129"/>
        <v/>
      </c>
      <c r="M1627" s="18" t="str">
        <f>IF(J1627&lt;&gt;-1,"",ROUND(F1627*IFERROR(INDEX(Stocuri!$G$5:$G$204,MATCH(D1627,Coduri,0)),0),2))</f>
        <v/>
      </c>
      <c r="N1627" s="19" t="str">
        <f t="shared" si="130"/>
        <v/>
      </c>
    </row>
    <row r="1628" spans="2:14" x14ac:dyDescent="0.2">
      <c r="B1628" s="15"/>
      <c r="C1628" s="6"/>
      <c r="D1628" s="12"/>
      <c r="E1628" s="10" t="str">
        <f t="shared" si="126"/>
        <v/>
      </c>
      <c r="F1628" s="16"/>
      <c r="G1628" s="13"/>
      <c r="H1628" s="6"/>
      <c r="I1628" s="6"/>
      <c r="J1628" s="11" t="str">
        <f t="shared" si="127"/>
        <v/>
      </c>
      <c r="K1628" s="17" t="str">
        <f t="shared" si="128"/>
        <v/>
      </c>
      <c r="L1628" s="18" t="str">
        <f t="shared" si="129"/>
        <v/>
      </c>
      <c r="M1628" s="18" t="str">
        <f>IF(J1628&lt;&gt;-1,"",ROUND(F1628*IFERROR(INDEX(Stocuri!$G$5:$G$204,MATCH(D1628,Coduri,0)),0),2))</f>
        <v/>
      </c>
      <c r="N1628" s="19" t="str">
        <f t="shared" si="130"/>
        <v/>
      </c>
    </row>
    <row r="1629" spans="2:14" x14ac:dyDescent="0.2">
      <c r="B1629" s="15"/>
      <c r="C1629" s="6"/>
      <c r="D1629" s="12"/>
      <c r="E1629" s="10" t="str">
        <f t="shared" si="126"/>
        <v/>
      </c>
      <c r="F1629" s="16"/>
      <c r="G1629" s="13"/>
      <c r="H1629" s="6"/>
      <c r="I1629" s="6"/>
      <c r="J1629" s="11" t="str">
        <f t="shared" si="127"/>
        <v/>
      </c>
      <c r="K1629" s="17" t="str">
        <f t="shared" si="128"/>
        <v/>
      </c>
      <c r="L1629" s="18" t="str">
        <f t="shared" si="129"/>
        <v/>
      </c>
      <c r="M1629" s="18" t="str">
        <f>IF(J1629&lt;&gt;-1,"",ROUND(F1629*IFERROR(INDEX(Stocuri!$G$5:$G$204,MATCH(D1629,Coduri,0)),0),2))</f>
        <v/>
      </c>
      <c r="N1629" s="19" t="str">
        <f t="shared" si="130"/>
        <v/>
      </c>
    </row>
    <row r="1630" spans="2:14" x14ac:dyDescent="0.2">
      <c r="B1630" s="15"/>
      <c r="C1630" s="6"/>
      <c r="D1630" s="12"/>
      <c r="E1630" s="10" t="str">
        <f t="shared" si="126"/>
        <v/>
      </c>
      <c r="F1630" s="16"/>
      <c r="G1630" s="13"/>
      <c r="H1630" s="6"/>
      <c r="I1630" s="6"/>
      <c r="J1630" s="11" t="str">
        <f t="shared" si="127"/>
        <v/>
      </c>
      <c r="K1630" s="17" t="str">
        <f t="shared" si="128"/>
        <v/>
      </c>
      <c r="L1630" s="18" t="str">
        <f t="shared" si="129"/>
        <v/>
      </c>
      <c r="M1630" s="18" t="str">
        <f>IF(J1630&lt;&gt;-1,"",ROUND(F1630*IFERROR(INDEX(Stocuri!$G$5:$G$204,MATCH(D1630,Coduri,0)),0),2))</f>
        <v/>
      </c>
      <c r="N1630" s="19" t="str">
        <f t="shared" si="130"/>
        <v/>
      </c>
    </row>
    <row r="1631" spans="2:14" x14ac:dyDescent="0.2">
      <c r="B1631" s="15"/>
      <c r="C1631" s="6"/>
      <c r="D1631" s="12"/>
      <c r="E1631" s="10" t="str">
        <f t="shared" si="126"/>
        <v/>
      </c>
      <c r="F1631" s="16"/>
      <c r="G1631" s="13"/>
      <c r="H1631" s="6"/>
      <c r="I1631" s="6"/>
      <c r="J1631" s="11" t="str">
        <f t="shared" si="127"/>
        <v/>
      </c>
      <c r="K1631" s="17" t="str">
        <f t="shared" si="128"/>
        <v/>
      </c>
      <c r="L1631" s="18" t="str">
        <f t="shared" si="129"/>
        <v/>
      </c>
      <c r="M1631" s="18" t="str">
        <f>IF(J1631&lt;&gt;-1,"",ROUND(F1631*IFERROR(INDEX(Stocuri!$G$5:$G$204,MATCH(D1631,Coduri,0)),0),2))</f>
        <v/>
      </c>
      <c r="N1631" s="19" t="str">
        <f t="shared" si="130"/>
        <v/>
      </c>
    </row>
    <row r="1632" spans="2:14" x14ac:dyDescent="0.2">
      <c r="B1632" s="15"/>
      <c r="C1632" s="6"/>
      <c r="D1632" s="12"/>
      <c r="E1632" s="10" t="str">
        <f t="shared" si="126"/>
        <v/>
      </c>
      <c r="F1632" s="16"/>
      <c r="G1632" s="13"/>
      <c r="H1632" s="6"/>
      <c r="I1632" s="6"/>
      <c r="J1632" s="11" t="str">
        <f t="shared" si="127"/>
        <v/>
      </c>
      <c r="K1632" s="17" t="str">
        <f t="shared" si="128"/>
        <v/>
      </c>
      <c r="L1632" s="18" t="str">
        <f t="shared" si="129"/>
        <v/>
      </c>
      <c r="M1632" s="18" t="str">
        <f>IF(J1632&lt;&gt;-1,"",ROUND(F1632*IFERROR(INDEX(Stocuri!$G$5:$G$204,MATCH(D1632,Coduri,0)),0),2))</f>
        <v/>
      </c>
      <c r="N1632" s="19" t="str">
        <f t="shared" si="130"/>
        <v/>
      </c>
    </row>
    <row r="1633" spans="2:14" x14ac:dyDescent="0.2">
      <c r="B1633" s="15"/>
      <c r="C1633" s="6"/>
      <c r="D1633" s="12"/>
      <c r="E1633" s="10" t="str">
        <f t="shared" si="126"/>
        <v/>
      </c>
      <c r="F1633" s="16"/>
      <c r="G1633" s="13"/>
      <c r="H1633" s="6"/>
      <c r="I1633" s="6"/>
      <c r="J1633" s="11" t="str">
        <f t="shared" si="127"/>
        <v/>
      </c>
      <c r="K1633" s="17" t="str">
        <f t="shared" si="128"/>
        <v/>
      </c>
      <c r="L1633" s="18" t="str">
        <f t="shared" si="129"/>
        <v/>
      </c>
      <c r="M1633" s="18" t="str">
        <f>IF(J1633&lt;&gt;-1,"",ROUND(F1633*IFERROR(INDEX(Stocuri!$G$5:$G$204,MATCH(D1633,Coduri,0)),0),2))</f>
        <v/>
      </c>
      <c r="N1633" s="19" t="str">
        <f t="shared" si="130"/>
        <v/>
      </c>
    </row>
    <row r="1634" spans="2:14" x14ac:dyDescent="0.2">
      <c r="B1634" s="15"/>
      <c r="C1634" s="6"/>
      <c r="D1634" s="12"/>
      <c r="E1634" s="10" t="str">
        <f t="shared" si="126"/>
        <v/>
      </c>
      <c r="F1634" s="16"/>
      <c r="G1634" s="13"/>
      <c r="H1634" s="6"/>
      <c r="I1634" s="6"/>
      <c r="J1634" s="11" t="str">
        <f t="shared" si="127"/>
        <v/>
      </c>
      <c r="K1634" s="17" t="str">
        <f t="shared" si="128"/>
        <v/>
      </c>
      <c r="L1634" s="18" t="str">
        <f t="shared" si="129"/>
        <v/>
      </c>
      <c r="M1634" s="18" t="str">
        <f>IF(J1634&lt;&gt;-1,"",ROUND(F1634*IFERROR(INDEX(Stocuri!$G$5:$G$204,MATCH(D1634,Coduri,0)),0),2))</f>
        <v/>
      </c>
      <c r="N1634" s="19" t="str">
        <f t="shared" si="130"/>
        <v/>
      </c>
    </row>
    <row r="1635" spans="2:14" x14ac:dyDescent="0.2">
      <c r="B1635" s="15"/>
      <c r="C1635" s="6"/>
      <c r="D1635" s="12"/>
      <c r="E1635" s="10" t="str">
        <f t="shared" si="126"/>
        <v/>
      </c>
      <c r="F1635" s="16"/>
      <c r="G1635" s="13"/>
      <c r="H1635" s="6"/>
      <c r="I1635" s="6"/>
      <c r="J1635" s="11" t="str">
        <f t="shared" si="127"/>
        <v/>
      </c>
      <c r="K1635" s="17" t="str">
        <f t="shared" si="128"/>
        <v/>
      </c>
      <c r="L1635" s="18" t="str">
        <f t="shared" si="129"/>
        <v/>
      </c>
      <c r="M1635" s="18" t="str">
        <f>IF(J1635&lt;&gt;-1,"",ROUND(F1635*IFERROR(INDEX(Stocuri!$G$5:$G$204,MATCH(D1635,Coduri,0)),0),2))</f>
        <v/>
      </c>
      <c r="N1635" s="19" t="str">
        <f t="shared" si="130"/>
        <v/>
      </c>
    </row>
    <row r="1636" spans="2:14" x14ac:dyDescent="0.2">
      <c r="B1636" s="15"/>
      <c r="C1636" s="6"/>
      <c r="D1636" s="12"/>
      <c r="E1636" s="10" t="str">
        <f t="shared" si="126"/>
        <v/>
      </c>
      <c r="F1636" s="16"/>
      <c r="G1636" s="13"/>
      <c r="H1636" s="6"/>
      <c r="I1636" s="6"/>
      <c r="J1636" s="11" t="str">
        <f t="shared" si="127"/>
        <v/>
      </c>
      <c r="K1636" s="17" t="str">
        <f t="shared" si="128"/>
        <v/>
      </c>
      <c r="L1636" s="18" t="str">
        <f t="shared" si="129"/>
        <v/>
      </c>
      <c r="M1636" s="18" t="str">
        <f>IF(J1636&lt;&gt;-1,"",ROUND(F1636*IFERROR(INDEX(Stocuri!$G$5:$G$204,MATCH(D1636,Coduri,0)),0),2))</f>
        <v/>
      </c>
      <c r="N1636" s="19" t="str">
        <f t="shared" si="130"/>
        <v/>
      </c>
    </row>
    <row r="1637" spans="2:14" x14ac:dyDescent="0.2">
      <c r="B1637" s="15"/>
      <c r="C1637" s="6"/>
      <c r="D1637" s="12"/>
      <c r="E1637" s="10" t="str">
        <f t="shared" si="126"/>
        <v/>
      </c>
      <c r="F1637" s="16"/>
      <c r="G1637" s="13"/>
      <c r="H1637" s="6"/>
      <c r="I1637" s="6"/>
      <c r="J1637" s="11" t="str">
        <f t="shared" si="127"/>
        <v/>
      </c>
      <c r="K1637" s="17" t="str">
        <f t="shared" si="128"/>
        <v/>
      </c>
      <c r="L1637" s="18" t="str">
        <f t="shared" si="129"/>
        <v/>
      </c>
      <c r="M1637" s="18" t="str">
        <f>IF(J1637&lt;&gt;-1,"",ROUND(F1637*IFERROR(INDEX(Stocuri!$G$5:$G$204,MATCH(D1637,Coduri,0)),0),2))</f>
        <v/>
      </c>
      <c r="N1637" s="19" t="str">
        <f t="shared" si="130"/>
        <v/>
      </c>
    </row>
    <row r="1638" spans="2:14" x14ac:dyDescent="0.2">
      <c r="B1638" s="15"/>
      <c r="C1638" s="6"/>
      <c r="D1638" s="12"/>
      <c r="E1638" s="10" t="str">
        <f t="shared" si="126"/>
        <v/>
      </c>
      <c r="F1638" s="16"/>
      <c r="G1638" s="13"/>
      <c r="H1638" s="6"/>
      <c r="I1638" s="6"/>
      <c r="J1638" s="11" t="str">
        <f t="shared" si="127"/>
        <v/>
      </c>
      <c r="K1638" s="17" t="str">
        <f t="shared" si="128"/>
        <v/>
      </c>
      <c r="L1638" s="18" t="str">
        <f t="shared" si="129"/>
        <v/>
      </c>
      <c r="M1638" s="18" t="str">
        <f>IF(J1638&lt;&gt;-1,"",ROUND(F1638*IFERROR(INDEX(Stocuri!$G$5:$G$204,MATCH(D1638,Coduri,0)),0),2))</f>
        <v/>
      </c>
      <c r="N1638" s="19" t="str">
        <f t="shared" si="130"/>
        <v/>
      </c>
    </row>
    <row r="1639" spans="2:14" x14ac:dyDescent="0.2">
      <c r="B1639" s="15"/>
      <c r="C1639" s="6"/>
      <c r="D1639" s="12"/>
      <c r="E1639" s="10" t="str">
        <f t="shared" si="126"/>
        <v/>
      </c>
      <c r="F1639" s="16"/>
      <c r="G1639" s="13"/>
      <c r="H1639" s="6"/>
      <c r="I1639" s="6"/>
      <c r="J1639" s="11" t="str">
        <f t="shared" si="127"/>
        <v/>
      </c>
      <c r="K1639" s="17" t="str">
        <f t="shared" si="128"/>
        <v/>
      </c>
      <c r="L1639" s="18" t="str">
        <f t="shared" si="129"/>
        <v/>
      </c>
      <c r="M1639" s="18" t="str">
        <f>IF(J1639&lt;&gt;-1,"",ROUND(F1639*IFERROR(INDEX(Stocuri!$G$5:$G$204,MATCH(D1639,Coduri,0)),0),2))</f>
        <v/>
      </c>
      <c r="N1639" s="19" t="str">
        <f t="shared" si="130"/>
        <v/>
      </c>
    </row>
    <row r="1640" spans="2:14" x14ac:dyDescent="0.2">
      <c r="B1640" s="15"/>
      <c r="C1640" s="6"/>
      <c r="D1640" s="12"/>
      <c r="E1640" s="10" t="str">
        <f t="shared" si="126"/>
        <v/>
      </c>
      <c r="F1640" s="16"/>
      <c r="G1640" s="13"/>
      <c r="H1640" s="6"/>
      <c r="I1640" s="6"/>
      <c r="J1640" s="11" t="str">
        <f t="shared" si="127"/>
        <v/>
      </c>
      <c r="K1640" s="17" t="str">
        <f t="shared" si="128"/>
        <v/>
      </c>
      <c r="L1640" s="18" t="str">
        <f t="shared" si="129"/>
        <v/>
      </c>
      <c r="M1640" s="18" t="str">
        <f>IF(J1640&lt;&gt;-1,"",ROUND(F1640*IFERROR(INDEX(Stocuri!$G$5:$G$204,MATCH(D1640,Coduri,0)),0),2))</f>
        <v/>
      </c>
      <c r="N1640" s="19" t="str">
        <f t="shared" si="130"/>
        <v/>
      </c>
    </row>
    <row r="1641" spans="2:14" x14ac:dyDescent="0.2">
      <c r="B1641" s="15"/>
      <c r="C1641" s="6"/>
      <c r="D1641" s="12"/>
      <c r="E1641" s="10" t="str">
        <f t="shared" si="126"/>
        <v/>
      </c>
      <c r="F1641" s="16"/>
      <c r="G1641" s="13"/>
      <c r="H1641" s="6"/>
      <c r="I1641" s="6"/>
      <c r="J1641" s="11" t="str">
        <f t="shared" si="127"/>
        <v/>
      </c>
      <c r="K1641" s="17" t="str">
        <f t="shared" si="128"/>
        <v/>
      </c>
      <c r="L1641" s="18" t="str">
        <f t="shared" si="129"/>
        <v/>
      </c>
      <c r="M1641" s="18" t="str">
        <f>IF(J1641&lt;&gt;-1,"",ROUND(F1641*IFERROR(INDEX(Stocuri!$G$5:$G$204,MATCH(D1641,Coduri,0)),0),2))</f>
        <v/>
      </c>
      <c r="N1641" s="19" t="str">
        <f t="shared" si="130"/>
        <v/>
      </c>
    </row>
    <row r="1642" spans="2:14" x14ac:dyDescent="0.2">
      <c r="B1642" s="15"/>
      <c r="C1642" s="6"/>
      <c r="D1642" s="12"/>
      <c r="E1642" s="10" t="str">
        <f t="shared" si="126"/>
        <v/>
      </c>
      <c r="F1642" s="16"/>
      <c r="G1642" s="13"/>
      <c r="H1642" s="6"/>
      <c r="I1642" s="6"/>
      <c r="J1642" s="11" t="str">
        <f t="shared" si="127"/>
        <v/>
      </c>
      <c r="K1642" s="17" t="str">
        <f t="shared" si="128"/>
        <v/>
      </c>
      <c r="L1642" s="18" t="str">
        <f t="shared" si="129"/>
        <v/>
      </c>
      <c r="M1642" s="18" t="str">
        <f>IF(J1642&lt;&gt;-1,"",ROUND(F1642*IFERROR(INDEX(Stocuri!$G$5:$G$204,MATCH(D1642,Coduri,0)),0),2))</f>
        <v/>
      </c>
      <c r="N1642" s="19" t="str">
        <f t="shared" si="130"/>
        <v/>
      </c>
    </row>
    <row r="1643" spans="2:14" x14ac:dyDescent="0.2">
      <c r="B1643" s="15"/>
      <c r="C1643" s="6"/>
      <c r="D1643" s="12"/>
      <c r="E1643" s="10" t="str">
        <f t="shared" si="126"/>
        <v/>
      </c>
      <c r="F1643" s="16"/>
      <c r="G1643" s="13"/>
      <c r="H1643" s="6"/>
      <c r="I1643" s="6"/>
      <c r="J1643" s="11" t="str">
        <f t="shared" si="127"/>
        <v/>
      </c>
      <c r="K1643" s="17" t="str">
        <f t="shared" si="128"/>
        <v/>
      </c>
      <c r="L1643" s="18" t="str">
        <f t="shared" si="129"/>
        <v/>
      </c>
      <c r="M1643" s="18" t="str">
        <f>IF(J1643&lt;&gt;-1,"",ROUND(F1643*IFERROR(INDEX(Stocuri!$G$5:$G$204,MATCH(D1643,Coduri,0)),0),2))</f>
        <v/>
      </c>
      <c r="N1643" s="19" t="str">
        <f t="shared" si="130"/>
        <v/>
      </c>
    </row>
    <row r="1644" spans="2:14" x14ac:dyDescent="0.2">
      <c r="B1644" s="15"/>
      <c r="C1644" s="6"/>
      <c r="D1644" s="12"/>
      <c r="E1644" s="10" t="str">
        <f t="shared" si="126"/>
        <v/>
      </c>
      <c r="F1644" s="16"/>
      <c r="G1644" s="13"/>
      <c r="H1644" s="6"/>
      <c r="I1644" s="6"/>
      <c r="J1644" s="11" t="str">
        <f t="shared" si="127"/>
        <v/>
      </c>
      <c r="K1644" s="17" t="str">
        <f t="shared" si="128"/>
        <v/>
      </c>
      <c r="L1644" s="18" t="str">
        <f t="shared" si="129"/>
        <v/>
      </c>
      <c r="M1644" s="18" t="str">
        <f>IF(J1644&lt;&gt;-1,"",ROUND(F1644*IFERROR(INDEX(Stocuri!$G$5:$G$204,MATCH(D1644,Coduri,0)),0),2))</f>
        <v/>
      </c>
      <c r="N1644" s="19" t="str">
        <f t="shared" si="130"/>
        <v/>
      </c>
    </row>
    <row r="1645" spans="2:14" x14ac:dyDescent="0.2">
      <c r="B1645" s="15"/>
      <c r="C1645" s="6"/>
      <c r="D1645" s="12"/>
      <c r="E1645" s="10" t="str">
        <f t="shared" si="126"/>
        <v/>
      </c>
      <c r="F1645" s="16"/>
      <c r="G1645" s="13"/>
      <c r="H1645" s="6"/>
      <c r="I1645" s="6"/>
      <c r="J1645" s="11" t="str">
        <f t="shared" si="127"/>
        <v/>
      </c>
      <c r="K1645" s="17" t="str">
        <f t="shared" si="128"/>
        <v/>
      </c>
      <c r="L1645" s="18" t="str">
        <f t="shared" si="129"/>
        <v/>
      </c>
      <c r="M1645" s="18" t="str">
        <f>IF(J1645&lt;&gt;-1,"",ROUND(F1645*IFERROR(INDEX(Stocuri!$G$5:$G$204,MATCH(D1645,Coduri,0)),0),2))</f>
        <v/>
      </c>
      <c r="N1645" s="19" t="str">
        <f t="shared" si="130"/>
        <v/>
      </c>
    </row>
    <row r="1646" spans="2:14" x14ac:dyDescent="0.2">
      <c r="B1646" s="15"/>
      <c r="C1646" s="6"/>
      <c r="D1646" s="12"/>
      <c r="E1646" s="10" t="str">
        <f t="shared" si="126"/>
        <v/>
      </c>
      <c r="F1646" s="16"/>
      <c r="G1646" s="13"/>
      <c r="H1646" s="6"/>
      <c r="I1646" s="6"/>
      <c r="J1646" s="11" t="str">
        <f t="shared" si="127"/>
        <v/>
      </c>
      <c r="K1646" s="17" t="str">
        <f t="shared" si="128"/>
        <v/>
      </c>
      <c r="L1646" s="18" t="str">
        <f t="shared" si="129"/>
        <v/>
      </c>
      <c r="M1646" s="18" t="str">
        <f>IF(J1646&lt;&gt;-1,"",ROUND(F1646*IFERROR(INDEX(Stocuri!$G$5:$G$204,MATCH(D1646,Coduri,0)),0),2))</f>
        <v/>
      </c>
      <c r="N1646" s="19" t="str">
        <f t="shared" si="130"/>
        <v/>
      </c>
    </row>
    <row r="1647" spans="2:14" x14ac:dyDescent="0.2">
      <c r="B1647" s="15"/>
      <c r="C1647" s="6"/>
      <c r="D1647" s="12"/>
      <c r="E1647" s="10" t="str">
        <f t="shared" si="126"/>
        <v/>
      </c>
      <c r="F1647" s="16"/>
      <c r="G1647" s="13"/>
      <c r="H1647" s="6"/>
      <c r="I1647" s="6"/>
      <c r="J1647" s="11" t="str">
        <f t="shared" si="127"/>
        <v/>
      </c>
      <c r="K1647" s="17" t="str">
        <f t="shared" si="128"/>
        <v/>
      </c>
      <c r="L1647" s="18" t="str">
        <f t="shared" si="129"/>
        <v/>
      </c>
      <c r="M1647" s="18" t="str">
        <f>IF(J1647&lt;&gt;-1,"",ROUND(F1647*IFERROR(INDEX(Stocuri!$G$5:$G$204,MATCH(D1647,Coduri,0)),0),2))</f>
        <v/>
      </c>
      <c r="N1647" s="19" t="str">
        <f t="shared" si="130"/>
        <v/>
      </c>
    </row>
    <row r="1648" spans="2:14" x14ac:dyDescent="0.2">
      <c r="B1648" s="15"/>
      <c r="C1648" s="6"/>
      <c r="D1648" s="12"/>
      <c r="E1648" s="10" t="str">
        <f t="shared" si="126"/>
        <v/>
      </c>
      <c r="F1648" s="16"/>
      <c r="G1648" s="13"/>
      <c r="H1648" s="6"/>
      <c r="I1648" s="6"/>
      <c r="J1648" s="11" t="str">
        <f t="shared" si="127"/>
        <v/>
      </c>
      <c r="K1648" s="17" t="str">
        <f t="shared" si="128"/>
        <v/>
      </c>
      <c r="L1648" s="18" t="str">
        <f t="shared" si="129"/>
        <v/>
      </c>
      <c r="M1648" s="18" t="str">
        <f>IF(J1648&lt;&gt;-1,"",ROUND(F1648*IFERROR(INDEX(Stocuri!$G$5:$G$204,MATCH(D1648,Coduri,0)),0),2))</f>
        <v/>
      </c>
      <c r="N1648" s="19" t="str">
        <f t="shared" si="130"/>
        <v/>
      </c>
    </row>
    <row r="1649" spans="2:14" x14ac:dyDescent="0.2">
      <c r="B1649" s="15"/>
      <c r="C1649" s="6"/>
      <c r="D1649" s="12"/>
      <c r="E1649" s="10" t="str">
        <f t="shared" si="126"/>
        <v/>
      </c>
      <c r="F1649" s="16"/>
      <c r="G1649" s="13"/>
      <c r="H1649" s="6"/>
      <c r="I1649" s="6"/>
      <c r="J1649" s="11" t="str">
        <f t="shared" si="127"/>
        <v/>
      </c>
      <c r="K1649" s="17" t="str">
        <f t="shared" si="128"/>
        <v/>
      </c>
      <c r="L1649" s="18" t="str">
        <f t="shared" si="129"/>
        <v/>
      </c>
      <c r="M1649" s="18" t="str">
        <f>IF(J1649&lt;&gt;-1,"",ROUND(F1649*IFERROR(INDEX(Stocuri!$G$5:$G$204,MATCH(D1649,Coduri,0)),0),2))</f>
        <v/>
      </c>
      <c r="N1649" s="19" t="str">
        <f t="shared" si="130"/>
        <v/>
      </c>
    </row>
    <row r="1650" spans="2:14" x14ac:dyDescent="0.2">
      <c r="B1650" s="15"/>
      <c r="C1650" s="6"/>
      <c r="D1650" s="12"/>
      <c r="E1650" s="10" t="str">
        <f t="shared" si="126"/>
        <v/>
      </c>
      <c r="F1650" s="16"/>
      <c r="G1650" s="13"/>
      <c r="H1650" s="6"/>
      <c r="I1650" s="6"/>
      <c r="J1650" s="11" t="str">
        <f t="shared" si="127"/>
        <v/>
      </c>
      <c r="K1650" s="17" t="str">
        <f t="shared" si="128"/>
        <v/>
      </c>
      <c r="L1650" s="18" t="str">
        <f t="shared" si="129"/>
        <v/>
      </c>
      <c r="M1650" s="18" t="str">
        <f>IF(J1650&lt;&gt;-1,"",ROUND(F1650*IFERROR(INDEX(Stocuri!$G$5:$G$204,MATCH(D1650,Coduri,0)),0),2))</f>
        <v/>
      </c>
      <c r="N1650" s="19" t="str">
        <f t="shared" si="130"/>
        <v/>
      </c>
    </row>
    <row r="1651" spans="2:14" x14ac:dyDescent="0.2">
      <c r="B1651" s="15"/>
      <c r="C1651" s="6"/>
      <c r="D1651" s="12"/>
      <c r="E1651" s="10" t="str">
        <f t="shared" si="126"/>
        <v/>
      </c>
      <c r="F1651" s="16"/>
      <c r="G1651" s="13"/>
      <c r="H1651" s="6"/>
      <c r="I1651" s="6"/>
      <c r="J1651" s="11" t="str">
        <f t="shared" si="127"/>
        <v/>
      </c>
      <c r="K1651" s="17" t="str">
        <f t="shared" si="128"/>
        <v/>
      </c>
      <c r="L1651" s="18" t="str">
        <f t="shared" si="129"/>
        <v/>
      </c>
      <c r="M1651" s="18" t="str">
        <f>IF(J1651&lt;&gt;-1,"",ROUND(F1651*IFERROR(INDEX(Stocuri!$G$5:$G$204,MATCH(D1651,Coduri,0)),0),2))</f>
        <v/>
      </c>
      <c r="N1651" s="19" t="str">
        <f t="shared" si="130"/>
        <v/>
      </c>
    </row>
    <row r="1652" spans="2:14" x14ac:dyDescent="0.2">
      <c r="B1652" s="15"/>
      <c r="C1652" s="6"/>
      <c r="D1652" s="12"/>
      <c r="E1652" s="10" t="str">
        <f t="shared" si="126"/>
        <v/>
      </c>
      <c r="F1652" s="16"/>
      <c r="G1652" s="13"/>
      <c r="H1652" s="6"/>
      <c r="I1652" s="6"/>
      <c r="J1652" s="11" t="str">
        <f t="shared" si="127"/>
        <v/>
      </c>
      <c r="K1652" s="17" t="str">
        <f t="shared" si="128"/>
        <v/>
      </c>
      <c r="L1652" s="18" t="str">
        <f t="shared" si="129"/>
        <v/>
      </c>
      <c r="M1652" s="18" t="str">
        <f>IF(J1652&lt;&gt;-1,"",ROUND(F1652*IFERROR(INDEX(Stocuri!$G$5:$G$204,MATCH(D1652,Coduri,0)),0),2))</f>
        <v/>
      </c>
      <c r="N1652" s="19" t="str">
        <f t="shared" si="130"/>
        <v/>
      </c>
    </row>
    <row r="1653" spans="2:14" x14ac:dyDescent="0.2">
      <c r="B1653" s="15"/>
      <c r="C1653" s="6"/>
      <c r="D1653" s="12"/>
      <c r="E1653" s="10" t="str">
        <f t="shared" si="126"/>
        <v/>
      </c>
      <c r="F1653" s="16"/>
      <c r="G1653" s="13"/>
      <c r="H1653" s="6"/>
      <c r="I1653" s="6"/>
      <c r="J1653" s="11" t="str">
        <f t="shared" si="127"/>
        <v/>
      </c>
      <c r="K1653" s="17" t="str">
        <f t="shared" si="128"/>
        <v/>
      </c>
      <c r="L1653" s="18" t="str">
        <f t="shared" si="129"/>
        <v/>
      </c>
      <c r="M1653" s="18" t="str">
        <f>IF(J1653&lt;&gt;-1,"",ROUND(F1653*IFERROR(INDEX(Stocuri!$G$5:$G$204,MATCH(D1653,Coduri,0)),0),2))</f>
        <v/>
      </c>
      <c r="N1653" s="19" t="str">
        <f t="shared" si="130"/>
        <v/>
      </c>
    </row>
    <row r="1654" spans="2:14" x14ac:dyDescent="0.2">
      <c r="B1654" s="15"/>
      <c r="C1654" s="6"/>
      <c r="D1654" s="12"/>
      <c r="E1654" s="10" t="str">
        <f t="shared" si="126"/>
        <v/>
      </c>
      <c r="F1654" s="16"/>
      <c r="G1654" s="13"/>
      <c r="H1654" s="6"/>
      <c r="I1654" s="6"/>
      <c r="J1654" s="11" t="str">
        <f t="shared" si="127"/>
        <v/>
      </c>
      <c r="K1654" s="17" t="str">
        <f t="shared" si="128"/>
        <v/>
      </c>
      <c r="L1654" s="18" t="str">
        <f t="shared" si="129"/>
        <v/>
      </c>
      <c r="M1654" s="18" t="str">
        <f>IF(J1654&lt;&gt;-1,"",ROUND(F1654*IFERROR(INDEX(Stocuri!$G$5:$G$204,MATCH(D1654,Coduri,0)),0),2))</f>
        <v/>
      </c>
      <c r="N1654" s="19" t="str">
        <f t="shared" si="130"/>
        <v/>
      </c>
    </row>
    <row r="1655" spans="2:14" x14ac:dyDescent="0.2">
      <c r="B1655" s="15"/>
      <c r="C1655" s="6"/>
      <c r="D1655" s="12"/>
      <c r="E1655" s="10" t="str">
        <f t="shared" si="126"/>
        <v/>
      </c>
      <c r="F1655" s="16"/>
      <c r="G1655" s="13"/>
      <c r="H1655" s="6"/>
      <c r="I1655" s="6"/>
      <c r="J1655" s="11" t="str">
        <f t="shared" si="127"/>
        <v/>
      </c>
      <c r="K1655" s="17" t="str">
        <f t="shared" si="128"/>
        <v/>
      </c>
      <c r="L1655" s="18" t="str">
        <f t="shared" si="129"/>
        <v/>
      </c>
      <c r="M1655" s="18" t="str">
        <f>IF(J1655&lt;&gt;-1,"",ROUND(F1655*IFERROR(INDEX(Stocuri!$G$5:$G$204,MATCH(D1655,Coduri,0)),0),2))</f>
        <v/>
      </c>
      <c r="N1655" s="19" t="str">
        <f t="shared" si="130"/>
        <v/>
      </c>
    </row>
    <row r="1656" spans="2:14" x14ac:dyDescent="0.2">
      <c r="B1656" s="15"/>
      <c r="C1656" s="6"/>
      <c r="D1656" s="12"/>
      <c r="E1656" s="10" t="str">
        <f t="shared" si="126"/>
        <v/>
      </c>
      <c r="F1656" s="16"/>
      <c r="G1656" s="13"/>
      <c r="H1656" s="6"/>
      <c r="I1656" s="6"/>
      <c r="J1656" s="11" t="str">
        <f t="shared" si="127"/>
        <v/>
      </c>
      <c r="K1656" s="17" t="str">
        <f t="shared" si="128"/>
        <v/>
      </c>
      <c r="L1656" s="18" t="str">
        <f t="shared" si="129"/>
        <v/>
      </c>
      <c r="M1656" s="18" t="str">
        <f>IF(J1656&lt;&gt;-1,"",ROUND(F1656*IFERROR(INDEX(Stocuri!$G$5:$G$204,MATCH(D1656,Coduri,0)),0),2))</f>
        <v/>
      </c>
      <c r="N1656" s="19" t="str">
        <f t="shared" si="130"/>
        <v/>
      </c>
    </row>
    <row r="1657" spans="2:14" x14ac:dyDescent="0.2">
      <c r="B1657" s="15"/>
      <c r="C1657" s="6"/>
      <c r="D1657" s="12"/>
      <c r="E1657" s="10" t="str">
        <f t="shared" si="126"/>
        <v/>
      </c>
      <c r="F1657" s="16"/>
      <c r="G1657" s="13"/>
      <c r="H1657" s="6"/>
      <c r="I1657" s="6"/>
      <c r="J1657" s="11" t="str">
        <f t="shared" si="127"/>
        <v/>
      </c>
      <c r="K1657" s="17" t="str">
        <f t="shared" si="128"/>
        <v/>
      </c>
      <c r="L1657" s="18" t="str">
        <f t="shared" si="129"/>
        <v/>
      </c>
      <c r="M1657" s="18" t="str">
        <f>IF(J1657&lt;&gt;-1,"",ROUND(F1657*IFERROR(INDEX(Stocuri!$G$5:$G$204,MATCH(D1657,Coduri,0)),0),2))</f>
        <v/>
      </c>
      <c r="N1657" s="19" t="str">
        <f t="shared" si="130"/>
        <v/>
      </c>
    </row>
    <row r="1658" spans="2:14" x14ac:dyDescent="0.2">
      <c r="B1658" s="15"/>
      <c r="C1658" s="6"/>
      <c r="D1658" s="12"/>
      <c r="E1658" s="10" t="str">
        <f t="shared" si="126"/>
        <v/>
      </c>
      <c r="F1658" s="16"/>
      <c r="G1658" s="13"/>
      <c r="H1658" s="6"/>
      <c r="I1658" s="6"/>
      <c r="J1658" s="11" t="str">
        <f t="shared" si="127"/>
        <v/>
      </c>
      <c r="K1658" s="17" t="str">
        <f t="shared" si="128"/>
        <v/>
      </c>
      <c r="L1658" s="18" t="str">
        <f t="shared" si="129"/>
        <v/>
      </c>
      <c r="M1658" s="18" t="str">
        <f>IF(J1658&lt;&gt;-1,"",ROUND(F1658*IFERROR(INDEX(Stocuri!$G$5:$G$204,MATCH(D1658,Coduri,0)),0),2))</f>
        <v/>
      </c>
      <c r="N1658" s="19" t="str">
        <f t="shared" si="130"/>
        <v/>
      </c>
    </row>
    <row r="1659" spans="2:14" x14ac:dyDescent="0.2">
      <c r="B1659" s="15"/>
      <c r="C1659" s="6"/>
      <c r="D1659" s="12"/>
      <c r="E1659" s="10" t="str">
        <f t="shared" si="126"/>
        <v/>
      </c>
      <c r="F1659" s="16"/>
      <c r="G1659" s="13"/>
      <c r="H1659" s="6"/>
      <c r="I1659" s="6"/>
      <c r="J1659" s="11" t="str">
        <f t="shared" si="127"/>
        <v/>
      </c>
      <c r="K1659" s="17" t="str">
        <f t="shared" si="128"/>
        <v/>
      </c>
      <c r="L1659" s="18" t="str">
        <f t="shared" si="129"/>
        <v/>
      </c>
      <c r="M1659" s="18" t="str">
        <f>IF(J1659&lt;&gt;-1,"",ROUND(F1659*IFERROR(INDEX(Stocuri!$G$5:$G$204,MATCH(D1659,Coduri,0)),0),2))</f>
        <v/>
      </c>
      <c r="N1659" s="19" t="str">
        <f t="shared" si="130"/>
        <v/>
      </c>
    </row>
    <row r="1660" spans="2:14" x14ac:dyDescent="0.2">
      <c r="B1660" s="15"/>
      <c r="C1660" s="6"/>
      <c r="D1660" s="12"/>
      <c r="E1660" s="10" t="str">
        <f t="shared" si="126"/>
        <v/>
      </c>
      <c r="F1660" s="16"/>
      <c r="G1660" s="13"/>
      <c r="H1660" s="6"/>
      <c r="I1660" s="6"/>
      <c r="J1660" s="11" t="str">
        <f t="shared" si="127"/>
        <v/>
      </c>
      <c r="K1660" s="17" t="str">
        <f t="shared" si="128"/>
        <v/>
      </c>
      <c r="L1660" s="18" t="str">
        <f t="shared" si="129"/>
        <v/>
      </c>
      <c r="M1660" s="18" t="str">
        <f>IF(J1660&lt;&gt;-1,"",ROUND(F1660*IFERROR(INDEX(Stocuri!$G$5:$G$204,MATCH(D1660,Coduri,0)),0),2))</f>
        <v/>
      </c>
      <c r="N1660" s="19" t="str">
        <f t="shared" si="130"/>
        <v/>
      </c>
    </row>
    <row r="1661" spans="2:14" x14ac:dyDescent="0.2">
      <c r="B1661" s="15"/>
      <c r="C1661" s="6"/>
      <c r="D1661" s="12"/>
      <c r="E1661" s="10" t="str">
        <f t="shared" si="126"/>
        <v/>
      </c>
      <c r="F1661" s="16"/>
      <c r="G1661" s="13"/>
      <c r="H1661" s="6"/>
      <c r="I1661" s="6"/>
      <c r="J1661" s="11" t="str">
        <f t="shared" si="127"/>
        <v/>
      </c>
      <c r="K1661" s="17" t="str">
        <f t="shared" si="128"/>
        <v/>
      </c>
      <c r="L1661" s="18" t="str">
        <f t="shared" si="129"/>
        <v/>
      </c>
      <c r="M1661" s="18" t="str">
        <f>IF(J1661&lt;&gt;-1,"",ROUND(F1661*IFERROR(INDEX(Stocuri!$G$5:$G$204,MATCH(D1661,Coduri,0)),0),2))</f>
        <v/>
      </c>
      <c r="N1661" s="19" t="str">
        <f t="shared" si="130"/>
        <v/>
      </c>
    </row>
    <row r="1662" spans="2:14" x14ac:dyDescent="0.2">
      <c r="B1662" s="15"/>
      <c r="C1662" s="6"/>
      <c r="D1662" s="12"/>
      <c r="E1662" s="10" t="str">
        <f t="shared" si="126"/>
        <v/>
      </c>
      <c r="F1662" s="16"/>
      <c r="G1662" s="13"/>
      <c r="H1662" s="6"/>
      <c r="I1662" s="6"/>
      <c r="J1662" s="11" t="str">
        <f t="shared" si="127"/>
        <v/>
      </c>
      <c r="K1662" s="17" t="str">
        <f t="shared" si="128"/>
        <v/>
      </c>
      <c r="L1662" s="18" t="str">
        <f t="shared" si="129"/>
        <v/>
      </c>
      <c r="M1662" s="18" t="str">
        <f>IF(J1662&lt;&gt;-1,"",ROUND(F1662*IFERROR(INDEX(Stocuri!$G$5:$G$204,MATCH(D1662,Coduri,0)),0),2))</f>
        <v/>
      </c>
      <c r="N1662" s="19" t="str">
        <f t="shared" si="130"/>
        <v/>
      </c>
    </row>
    <row r="1663" spans="2:14" x14ac:dyDescent="0.2">
      <c r="B1663" s="15"/>
      <c r="C1663" s="6"/>
      <c r="D1663" s="12"/>
      <c r="E1663" s="10" t="str">
        <f t="shared" si="126"/>
        <v/>
      </c>
      <c r="F1663" s="16"/>
      <c r="G1663" s="13"/>
      <c r="H1663" s="6"/>
      <c r="I1663" s="6"/>
      <c r="J1663" s="11" t="str">
        <f t="shared" si="127"/>
        <v/>
      </c>
      <c r="K1663" s="17" t="str">
        <f t="shared" si="128"/>
        <v/>
      </c>
      <c r="L1663" s="18" t="str">
        <f t="shared" si="129"/>
        <v/>
      </c>
      <c r="M1663" s="18" t="str">
        <f>IF(J1663&lt;&gt;-1,"",ROUND(F1663*IFERROR(INDEX(Stocuri!$G$5:$G$204,MATCH(D1663,Coduri,0)),0),2))</f>
        <v/>
      </c>
      <c r="N1663" s="19" t="str">
        <f t="shared" si="130"/>
        <v/>
      </c>
    </row>
    <row r="1664" spans="2:14" x14ac:dyDescent="0.2">
      <c r="B1664" s="15"/>
      <c r="C1664" s="6"/>
      <c r="D1664" s="12"/>
      <c r="E1664" s="10" t="str">
        <f t="shared" si="126"/>
        <v/>
      </c>
      <c r="F1664" s="16"/>
      <c r="G1664" s="13"/>
      <c r="H1664" s="6"/>
      <c r="I1664" s="6"/>
      <c r="J1664" s="11" t="str">
        <f t="shared" si="127"/>
        <v/>
      </c>
      <c r="K1664" s="17" t="str">
        <f t="shared" si="128"/>
        <v/>
      </c>
      <c r="L1664" s="18" t="str">
        <f t="shared" si="129"/>
        <v/>
      </c>
      <c r="M1664" s="18" t="str">
        <f>IF(J1664&lt;&gt;-1,"",ROUND(F1664*IFERROR(INDEX(Stocuri!$G$5:$G$204,MATCH(D1664,Coduri,0)),0),2))</f>
        <v/>
      </c>
      <c r="N1664" s="19" t="str">
        <f t="shared" si="130"/>
        <v/>
      </c>
    </row>
    <row r="1665" spans="2:14" x14ac:dyDescent="0.2">
      <c r="B1665" s="15"/>
      <c r="C1665" s="6"/>
      <c r="D1665" s="12"/>
      <c r="E1665" s="10" t="str">
        <f t="shared" si="126"/>
        <v/>
      </c>
      <c r="F1665" s="16"/>
      <c r="G1665" s="13"/>
      <c r="H1665" s="6"/>
      <c r="I1665" s="6"/>
      <c r="J1665" s="11" t="str">
        <f t="shared" si="127"/>
        <v/>
      </c>
      <c r="K1665" s="17" t="str">
        <f t="shared" si="128"/>
        <v/>
      </c>
      <c r="L1665" s="18" t="str">
        <f t="shared" si="129"/>
        <v/>
      </c>
      <c r="M1665" s="18" t="str">
        <f>IF(J1665&lt;&gt;-1,"",ROUND(F1665*IFERROR(INDEX(Stocuri!$G$5:$G$204,MATCH(D1665,Coduri,0)),0),2))</f>
        <v/>
      </c>
      <c r="N1665" s="19" t="str">
        <f t="shared" si="130"/>
        <v/>
      </c>
    </row>
    <row r="1666" spans="2:14" x14ac:dyDescent="0.2">
      <c r="B1666" s="15"/>
      <c r="C1666" s="6"/>
      <c r="D1666" s="12"/>
      <c r="E1666" s="10" t="str">
        <f t="shared" si="126"/>
        <v/>
      </c>
      <c r="F1666" s="16"/>
      <c r="G1666" s="13"/>
      <c r="H1666" s="6"/>
      <c r="I1666" s="6"/>
      <c r="J1666" s="11" t="str">
        <f t="shared" si="127"/>
        <v/>
      </c>
      <c r="K1666" s="17" t="str">
        <f t="shared" si="128"/>
        <v/>
      </c>
      <c r="L1666" s="18" t="str">
        <f t="shared" si="129"/>
        <v/>
      </c>
      <c r="M1666" s="18" t="str">
        <f>IF(J1666&lt;&gt;-1,"",ROUND(F1666*IFERROR(INDEX(Stocuri!$G$5:$G$204,MATCH(D1666,Coduri,0)),0),2))</f>
        <v/>
      </c>
      <c r="N1666" s="19" t="str">
        <f t="shared" si="130"/>
        <v/>
      </c>
    </row>
    <row r="1667" spans="2:14" x14ac:dyDescent="0.2">
      <c r="B1667" s="15"/>
      <c r="C1667" s="6"/>
      <c r="D1667" s="12"/>
      <c r="E1667" s="10" t="str">
        <f t="shared" si="126"/>
        <v/>
      </c>
      <c r="F1667" s="16"/>
      <c r="G1667" s="13"/>
      <c r="H1667" s="6"/>
      <c r="I1667" s="6"/>
      <c r="J1667" s="11" t="str">
        <f t="shared" si="127"/>
        <v/>
      </c>
      <c r="K1667" s="17" t="str">
        <f t="shared" si="128"/>
        <v/>
      </c>
      <c r="L1667" s="18" t="str">
        <f t="shared" si="129"/>
        <v/>
      </c>
      <c r="M1667" s="18" t="str">
        <f>IF(J1667&lt;&gt;-1,"",ROUND(F1667*IFERROR(INDEX(Stocuri!$G$5:$G$204,MATCH(D1667,Coduri,0)),0),2))</f>
        <v/>
      </c>
      <c r="N1667" s="19" t="str">
        <f t="shared" si="130"/>
        <v/>
      </c>
    </row>
    <row r="1668" spans="2:14" x14ac:dyDescent="0.2">
      <c r="B1668" s="15"/>
      <c r="C1668" s="6"/>
      <c r="D1668" s="12"/>
      <c r="E1668" s="10" t="str">
        <f t="shared" si="126"/>
        <v/>
      </c>
      <c r="F1668" s="16"/>
      <c r="G1668" s="13"/>
      <c r="H1668" s="6"/>
      <c r="I1668" s="6"/>
      <c r="J1668" s="11" t="str">
        <f t="shared" si="127"/>
        <v/>
      </c>
      <c r="K1668" s="17" t="str">
        <f t="shared" si="128"/>
        <v/>
      </c>
      <c r="L1668" s="18" t="str">
        <f t="shared" si="129"/>
        <v/>
      </c>
      <c r="M1668" s="18" t="str">
        <f>IF(J1668&lt;&gt;-1,"",ROUND(F1668*IFERROR(INDEX(Stocuri!$G$5:$G$204,MATCH(D1668,Coduri,0)),0),2))</f>
        <v/>
      </c>
      <c r="N1668" s="19" t="str">
        <f t="shared" si="130"/>
        <v/>
      </c>
    </row>
    <row r="1669" spans="2:14" x14ac:dyDescent="0.2">
      <c r="B1669" s="15"/>
      <c r="C1669" s="6"/>
      <c r="D1669" s="12"/>
      <c r="E1669" s="10" t="str">
        <f t="shared" ref="E1669:E1732" si="131">IF(D1669="","",IFERROR(VLOOKUP(D1669,Catalog,2,FALSE),""))</f>
        <v/>
      </c>
      <c r="F1669" s="16"/>
      <c r="G1669" s="13"/>
      <c r="H1669" s="6"/>
      <c r="I1669" s="6"/>
      <c r="J1669" s="11" t="str">
        <f t="shared" ref="J1669:J1732" si="132">IF(C1669="","",IFERROR(VLOOKUP(C1669,TipSemn,2,FALSE),""))</f>
        <v/>
      </c>
      <c r="K1669" s="17" t="str">
        <f t="shared" ref="K1669:K1732" si="133">IF(OR(J1669="",F1669=""),"",J1669*F1669)</f>
        <v/>
      </c>
      <c r="L1669" s="18" t="str">
        <f t="shared" ref="L1669:L1732" si="134">IF(OR(J1669&lt;&gt;1,G1669=""),"",ROUND(F1669*G1669,2))</f>
        <v/>
      </c>
      <c r="M1669" s="18" t="str">
        <f>IF(J1669&lt;&gt;-1,"",ROUND(F1669*IFERROR(INDEX(Stocuri!$G$5:$G$204,MATCH(D1669,Coduri,0)),0),2))</f>
        <v/>
      </c>
      <c r="N1669" s="19" t="str">
        <f t="shared" ref="N1669:N1732" si="135">IF(AND(B1669="",D1669=""),"",TRIM(IF(OR(B1669="",C1669="",D1669="",F1669=""),"Date incomplete. ","")&amp;IF(AND(D1669&lt;&gt;"",E1669=""),"Cod necunoscut. ","")&amp;IF(AND(J1669=1,C1669&lt;&gt;"Retur de la client",C1669&lt;&gt;"Ajustare inventar +",G1669=""),"Lipsește prețul de intrare. ","")&amp;IF(AND(J1669=-1,D1669&lt;&gt;"",SUMIFS($K$5:$K$2004,$D$5:$D$2004,D1669,$B$5:$B$2004,"&lt;="&amp;B1669)&lt;0),"Stoc insuficient la această dată. ","")&amp;IF(AND(C1669&lt;&gt;"Stoc inițial",H1669=""),"Lipsește documentul. ","")))</f>
        <v/>
      </c>
    </row>
    <row r="1670" spans="2:14" x14ac:dyDescent="0.2">
      <c r="B1670" s="15"/>
      <c r="C1670" s="6"/>
      <c r="D1670" s="12"/>
      <c r="E1670" s="10" t="str">
        <f t="shared" si="131"/>
        <v/>
      </c>
      <c r="F1670" s="16"/>
      <c r="G1670" s="13"/>
      <c r="H1670" s="6"/>
      <c r="I1670" s="6"/>
      <c r="J1670" s="11" t="str">
        <f t="shared" si="132"/>
        <v/>
      </c>
      <c r="K1670" s="17" t="str">
        <f t="shared" si="133"/>
        <v/>
      </c>
      <c r="L1670" s="18" t="str">
        <f t="shared" si="134"/>
        <v/>
      </c>
      <c r="M1670" s="18" t="str">
        <f>IF(J1670&lt;&gt;-1,"",ROUND(F1670*IFERROR(INDEX(Stocuri!$G$5:$G$204,MATCH(D1670,Coduri,0)),0),2))</f>
        <v/>
      </c>
      <c r="N1670" s="19" t="str">
        <f t="shared" si="135"/>
        <v/>
      </c>
    </row>
    <row r="1671" spans="2:14" x14ac:dyDescent="0.2">
      <c r="B1671" s="15"/>
      <c r="C1671" s="6"/>
      <c r="D1671" s="12"/>
      <c r="E1671" s="10" t="str">
        <f t="shared" si="131"/>
        <v/>
      </c>
      <c r="F1671" s="16"/>
      <c r="G1671" s="13"/>
      <c r="H1671" s="6"/>
      <c r="I1671" s="6"/>
      <c r="J1671" s="11" t="str">
        <f t="shared" si="132"/>
        <v/>
      </c>
      <c r="K1671" s="17" t="str">
        <f t="shared" si="133"/>
        <v/>
      </c>
      <c r="L1671" s="18" t="str">
        <f t="shared" si="134"/>
        <v/>
      </c>
      <c r="M1671" s="18" t="str">
        <f>IF(J1671&lt;&gt;-1,"",ROUND(F1671*IFERROR(INDEX(Stocuri!$G$5:$G$204,MATCH(D1671,Coduri,0)),0),2))</f>
        <v/>
      </c>
      <c r="N1671" s="19" t="str">
        <f t="shared" si="135"/>
        <v/>
      </c>
    </row>
    <row r="1672" spans="2:14" x14ac:dyDescent="0.2">
      <c r="B1672" s="15"/>
      <c r="C1672" s="6"/>
      <c r="D1672" s="12"/>
      <c r="E1672" s="10" t="str">
        <f t="shared" si="131"/>
        <v/>
      </c>
      <c r="F1672" s="16"/>
      <c r="G1672" s="13"/>
      <c r="H1672" s="6"/>
      <c r="I1672" s="6"/>
      <c r="J1672" s="11" t="str">
        <f t="shared" si="132"/>
        <v/>
      </c>
      <c r="K1672" s="17" t="str">
        <f t="shared" si="133"/>
        <v/>
      </c>
      <c r="L1672" s="18" t="str">
        <f t="shared" si="134"/>
        <v/>
      </c>
      <c r="M1672" s="18" t="str">
        <f>IF(J1672&lt;&gt;-1,"",ROUND(F1672*IFERROR(INDEX(Stocuri!$G$5:$G$204,MATCH(D1672,Coduri,0)),0),2))</f>
        <v/>
      </c>
      <c r="N1672" s="19" t="str">
        <f t="shared" si="135"/>
        <v/>
      </c>
    </row>
    <row r="1673" spans="2:14" x14ac:dyDescent="0.2">
      <c r="B1673" s="15"/>
      <c r="C1673" s="6"/>
      <c r="D1673" s="12"/>
      <c r="E1673" s="10" t="str">
        <f t="shared" si="131"/>
        <v/>
      </c>
      <c r="F1673" s="16"/>
      <c r="G1673" s="13"/>
      <c r="H1673" s="6"/>
      <c r="I1673" s="6"/>
      <c r="J1673" s="11" t="str">
        <f t="shared" si="132"/>
        <v/>
      </c>
      <c r="K1673" s="17" t="str">
        <f t="shared" si="133"/>
        <v/>
      </c>
      <c r="L1673" s="18" t="str">
        <f t="shared" si="134"/>
        <v/>
      </c>
      <c r="M1673" s="18" t="str">
        <f>IF(J1673&lt;&gt;-1,"",ROUND(F1673*IFERROR(INDEX(Stocuri!$G$5:$G$204,MATCH(D1673,Coduri,0)),0),2))</f>
        <v/>
      </c>
      <c r="N1673" s="19" t="str">
        <f t="shared" si="135"/>
        <v/>
      </c>
    </row>
    <row r="1674" spans="2:14" x14ac:dyDescent="0.2">
      <c r="B1674" s="15"/>
      <c r="C1674" s="6"/>
      <c r="D1674" s="12"/>
      <c r="E1674" s="10" t="str">
        <f t="shared" si="131"/>
        <v/>
      </c>
      <c r="F1674" s="16"/>
      <c r="G1674" s="13"/>
      <c r="H1674" s="6"/>
      <c r="I1674" s="6"/>
      <c r="J1674" s="11" t="str">
        <f t="shared" si="132"/>
        <v/>
      </c>
      <c r="K1674" s="17" t="str">
        <f t="shared" si="133"/>
        <v/>
      </c>
      <c r="L1674" s="18" t="str">
        <f t="shared" si="134"/>
        <v/>
      </c>
      <c r="M1674" s="18" t="str">
        <f>IF(J1674&lt;&gt;-1,"",ROUND(F1674*IFERROR(INDEX(Stocuri!$G$5:$G$204,MATCH(D1674,Coduri,0)),0),2))</f>
        <v/>
      </c>
      <c r="N1674" s="19" t="str">
        <f t="shared" si="135"/>
        <v/>
      </c>
    </row>
    <row r="1675" spans="2:14" x14ac:dyDescent="0.2">
      <c r="B1675" s="15"/>
      <c r="C1675" s="6"/>
      <c r="D1675" s="12"/>
      <c r="E1675" s="10" t="str">
        <f t="shared" si="131"/>
        <v/>
      </c>
      <c r="F1675" s="16"/>
      <c r="G1675" s="13"/>
      <c r="H1675" s="6"/>
      <c r="I1675" s="6"/>
      <c r="J1675" s="11" t="str">
        <f t="shared" si="132"/>
        <v/>
      </c>
      <c r="K1675" s="17" t="str">
        <f t="shared" si="133"/>
        <v/>
      </c>
      <c r="L1675" s="18" t="str">
        <f t="shared" si="134"/>
        <v/>
      </c>
      <c r="M1675" s="18" t="str">
        <f>IF(J1675&lt;&gt;-1,"",ROUND(F1675*IFERROR(INDEX(Stocuri!$G$5:$G$204,MATCH(D1675,Coduri,0)),0),2))</f>
        <v/>
      </c>
      <c r="N1675" s="19" t="str">
        <f t="shared" si="135"/>
        <v/>
      </c>
    </row>
    <row r="1676" spans="2:14" x14ac:dyDescent="0.2">
      <c r="B1676" s="15"/>
      <c r="C1676" s="6"/>
      <c r="D1676" s="12"/>
      <c r="E1676" s="10" t="str">
        <f t="shared" si="131"/>
        <v/>
      </c>
      <c r="F1676" s="16"/>
      <c r="G1676" s="13"/>
      <c r="H1676" s="6"/>
      <c r="I1676" s="6"/>
      <c r="J1676" s="11" t="str">
        <f t="shared" si="132"/>
        <v/>
      </c>
      <c r="K1676" s="17" t="str">
        <f t="shared" si="133"/>
        <v/>
      </c>
      <c r="L1676" s="18" t="str">
        <f t="shared" si="134"/>
        <v/>
      </c>
      <c r="M1676" s="18" t="str">
        <f>IF(J1676&lt;&gt;-1,"",ROUND(F1676*IFERROR(INDEX(Stocuri!$G$5:$G$204,MATCH(D1676,Coduri,0)),0),2))</f>
        <v/>
      </c>
      <c r="N1676" s="19" t="str">
        <f t="shared" si="135"/>
        <v/>
      </c>
    </row>
    <row r="1677" spans="2:14" x14ac:dyDescent="0.2">
      <c r="B1677" s="15"/>
      <c r="C1677" s="6"/>
      <c r="D1677" s="12"/>
      <c r="E1677" s="10" t="str">
        <f t="shared" si="131"/>
        <v/>
      </c>
      <c r="F1677" s="16"/>
      <c r="G1677" s="13"/>
      <c r="H1677" s="6"/>
      <c r="I1677" s="6"/>
      <c r="J1677" s="11" t="str">
        <f t="shared" si="132"/>
        <v/>
      </c>
      <c r="K1677" s="17" t="str">
        <f t="shared" si="133"/>
        <v/>
      </c>
      <c r="L1677" s="18" t="str">
        <f t="shared" si="134"/>
        <v/>
      </c>
      <c r="M1677" s="18" t="str">
        <f>IF(J1677&lt;&gt;-1,"",ROUND(F1677*IFERROR(INDEX(Stocuri!$G$5:$G$204,MATCH(D1677,Coduri,0)),0),2))</f>
        <v/>
      </c>
      <c r="N1677" s="19" t="str">
        <f t="shared" si="135"/>
        <v/>
      </c>
    </row>
    <row r="1678" spans="2:14" x14ac:dyDescent="0.2">
      <c r="B1678" s="15"/>
      <c r="C1678" s="6"/>
      <c r="D1678" s="12"/>
      <c r="E1678" s="10" t="str">
        <f t="shared" si="131"/>
        <v/>
      </c>
      <c r="F1678" s="16"/>
      <c r="G1678" s="13"/>
      <c r="H1678" s="6"/>
      <c r="I1678" s="6"/>
      <c r="J1678" s="11" t="str">
        <f t="shared" si="132"/>
        <v/>
      </c>
      <c r="K1678" s="17" t="str">
        <f t="shared" si="133"/>
        <v/>
      </c>
      <c r="L1678" s="18" t="str">
        <f t="shared" si="134"/>
        <v/>
      </c>
      <c r="M1678" s="18" t="str">
        <f>IF(J1678&lt;&gt;-1,"",ROUND(F1678*IFERROR(INDEX(Stocuri!$G$5:$G$204,MATCH(D1678,Coduri,0)),0),2))</f>
        <v/>
      </c>
      <c r="N1678" s="19" t="str">
        <f t="shared" si="135"/>
        <v/>
      </c>
    </row>
    <row r="1679" spans="2:14" x14ac:dyDescent="0.2">
      <c r="B1679" s="15"/>
      <c r="C1679" s="6"/>
      <c r="D1679" s="12"/>
      <c r="E1679" s="10" t="str">
        <f t="shared" si="131"/>
        <v/>
      </c>
      <c r="F1679" s="16"/>
      <c r="G1679" s="13"/>
      <c r="H1679" s="6"/>
      <c r="I1679" s="6"/>
      <c r="J1679" s="11" t="str">
        <f t="shared" si="132"/>
        <v/>
      </c>
      <c r="K1679" s="17" t="str">
        <f t="shared" si="133"/>
        <v/>
      </c>
      <c r="L1679" s="18" t="str">
        <f t="shared" si="134"/>
        <v/>
      </c>
      <c r="M1679" s="18" t="str">
        <f>IF(J1679&lt;&gt;-1,"",ROUND(F1679*IFERROR(INDEX(Stocuri!$G$5:$G$204,MATCH(D1679,Coduri,0)),0),2))</f>
        <v/>
      </c>
      <c r="N1679" s="19" t="str">
        <f t="shared" si="135"/>
        <v/>
      </c>
    </row>
    <row r="1680" spans="2:14" x14ac:dyDescent="0.2">
      <c r="B1680" s="15"/>
      <c r="C1680" s="6"/>
      <c r="D1680" s="12"/>
      <c r="E1680" s="10" t="str">
        <f t="shared" si="131"/>
        <v/>
      </c>
      <c r="F1680" s="16"/>
      <c r="G1680" s="13"/>
      <c r="H1680" s="6"/>
      <c r="I1680" s="6"/>
      <c r="J1680" s="11" t="str">
        <f t="shared" si="132"/>
        <v/>
      </c>
      <c r="K1680" s="17" t="str">
        <f t="shared" si="133"/>
        <v/>
      </c>
      <c r="L1680" s="18" t="str">
        <f t="shared" si="134"/>
        <v/>
      </c>
      <c r="M1680" s="18" t="str">
        <f>IF(J1680&lt;&gt;-1,"",ROUND(F1680*IFERROR(INDEX(Stocuri!$G$5:$G$204,MATCH(D1680,Coduri,0)),0),2))</f>
        <v/>
      </c>
      <c r="N1680" s="19" t="str">
        <f t="shared" si="135"/>
        <v/>
      </c>
    </row>
    <row r="1681" spans="2:14" x14ac:dyDescent="0.2">
      <c r="B1681" s="15"/>
      <c r="C1681" s="6"/>
      <c r="D1681" s="12"/>
      <c r="E1681" s="10" t="str">
        <f t="shared" si="131"/>
        <v/>
      </c>
      <c r="F1681" s="16"/>
      <c r="G1681" s="13"/>
      <c r="H1681" s="6"/>
      <c r="I1681" s="6"/>
      <c r="J1681" s="11" t="str">
        <f t="shared" si="132"/>
        <v/>
      </c>
      <c r="K1681" s="17" t="str">
        <f t="shared" si="133"/>
        <v/>
      </c>
      <c r="L1681" s="18" t="str">
        <f t="shared" si="134"/>
        <v/>
      </c>
      <c r="M1681" s="18" t="str">
        <f>IF(J1681&lt;&gt;-1,"",ROUND(F1681*IFERROR(INDEX(Stocuri!$G$5:$G$204,MATCH(D1681,Coduri,0)),0),2))</f>
        <v/>
      </c>
      <c r="N1681" s="19" t="str">
        <f t="shared" si="135"/>
        <v/>
      </c>
    </row>
    <row r="1682" spans="2:14" x14ac:dyDescent="0.2">
      <c r="B1682" s="15"/>
      <c r="C1682" s="6"/>
      <c r="D1682" s="12"/>
      <c r="E1682" s="10" t="str">
        <f t="shared" si="131"/>
        <v/>
      </c>
      <c r="F1682" s="16"/>
      <c r="G1682" s="13"/>
      <c r="H1682" s="6"/>
      <c r="I1682" s="6"/>
      <c r="J1682" s="11" t="str">
        <f t="shared" si="132"/>
        <v/>
      </c>
      <c r="K1682" s="17" t="str">
        <f t="shared" si="133"/>
        <v/>
      </c>
      <c r="L1682" s="18" t="str">
        <f t="shared" si="134"/>
        <v/>
      </c>
      <c r="M1682" s="18" t="str">
        <f>IF(J1682&lt;&gt;-1,"",ROUND(F1682*IFERROR(INDEX(Stocuri!$G$5:$G$204,MATCH(D1682,Coduri,0)),0),2))</f>
        <v/>
      </c>
      <c r="N1682" s="19" t="str">
        <f t="shared" si="135"/>
        <v/>
      </c>
    </row>
    <row r="1683" spans="2:14" x14ac:dyDescent="0.2">
      <c r="B1683" s="15"/>
      <c r="C1683" s="6"/>
      <c r="D1683" s="12"/>
      <c r="E1683" s="10" t="str">
        <f t="shared" si="131"/>
        <v/>
      </c>
      <c r="F1683" s="16"/>
      <c r="G1683" s="13"/>
      <c r="H1683" s="6"/>
      <c r="I1683" s="6"/>
      <c r="J1683" s="11" t="str">
        <f t="shared" si="132"/>
        <v/>
      </c>
      <c r="K1683" s="17" t="str">
        <f t="shared" si="133"/>
        <v/>
      </c>
      <c r="L1683" s="18" t="str">
        <f t="shared" si="134"/>
        <v/>
      </c>
      <c r="M1683" s="18" t="str">
        <f>IF(J1683&lt;&gt;-1,"",ROUND(F1683*IFERROR(INDEX(Stocuri!$G$5:$G$204,MATCH(D1683,Coduri,0)),0),2))</f>
        <v/>
      </c>
      <c r="N1683" s="19" t="str">
        <f t="shared" si="135"/>
        <v/>
      </c>
    </row>
    <row r="1684" spans="2:14" x14ac:dyDescent="0.2">
      <c r="B1684" s="15"/>
      <c r="C1684" s="6"/>
      <c r="D1684" s="12"/>
      <c r="E1684" s="10" t="str">
        <f t="shared" si="131"/>
        <v/>
      </c>
      <c r="F1684" s="16"/>
      <c r="G1684" s="13"/>
      <c r="H1684" s="6"/>
      <c r="I1684" s="6"/>
      <c r="J1684" s="11" t="str">
        <f t="shared" si="132"/>
        <v/>
      </c>
      <c r="K1684" s="17" t="str">
        <f t="shared" si="133"/>
        <v/>
      </c>
      <c r="L1684" s="18" t="str">
        <f t="shared" si="134"/>
        <v/>
      </c>
      <c r="M1684" s="18" t="str">
        <f>IF(J1684&lt;&gt;-1,"",ROUND(F1684*IFERROR(INDEX(Stocuri!$G$5:$G$204,MATCH(D1684,Coduri,0)),0),2))</f>
        <v/>
      </c>
      <c r="N1684" s="19" t="str">
        <f t="shared" si="135"/>
        <v/>
      </c>
    </row>
    <row r="1685" spans="2:14" x14ac:dyDescent="0.2">
      <c r="B1685" s="15"/>
      <c r="C1685" s="6"/>
      <c r="D1685" s="12"/>
      <c r="E1685" s="10" t="str">
        <f t="shared" si="131"/>
        <v/>
      </c>
      <c r="F1685" s="16"/>
      <c r="G1685" s="13"/>
      <c r="H1685" s="6"/>
      <c r="I1685" s="6"/>
      <c r="J1685" s="11" t="str">
        <f t="shared" si="132"/>
        <v/>
      </c>
      <c r="K1685" s="17" t="str">
        <f t="shared" si="133"/>
        <v/>
      </c>
      <c r="L1685" s="18" t="str">
        <f t="shared" si="134"/>
        <v/>
      </c>
      <c r="M1685" s="18" t="str">
        <f>IF(J1685&lt;&gt;-1,"",ROUND(F1685*IFERROR(INDEX(Stocuri!$G$5:$G$204,MATCH(D1685,Coduri,0)),0),2))</f>
        <v/>
      </c>
      <c r="N1685" s="19" t="str">
        <f t="shared" si="135"/>
        <v/>
      </c>
    </row>
    <row r="1686" spans="2:14" x14ac:dyDescent="0.2">
      <c r="B1686" s="15"/>
      <c r="C1686" s="6"/>
      <c r="D1686" s="12"/>
      <c r="E1686" s="10" t="str">
        <f t="shared" si="131"/>
        <v/>
      </c>
      <c r="F1686" s="16"/>
      <c r="G1686" s="13"/>
      <c r="H1686" s="6"/>
      <c r="I1686" s="6"/>
      <c r="J1686" s="11" t="str">
        <f t="shared" si="132"/>
        <v/>
      </c>
      <c r="K1686" s="17" t="str">
        <f t="shared" si="133"/>
        <v/>
      </c>
      <c r="L1686" s="18" t="str">
        <f t="shared" si="134"/>
        <v/>
      </c>
      <c r="M1686" s="18" t="str">
        <f>IF(J1686&lt;&gt;-1,"",ROUND(F1686*IFERROR(INDEX(Stocuri!$G$5:$G$204,MATCH(D1686,Coduri,0)),0),2))</f>
        <v/>
      </c>
      <c r="N1686" s="19" t="str">
        <f t="shared" si="135"/>
        <v/>
      </c>
    </row>
    <row r="1687" spans="2:14" x14ac:dyDescent="0.2">
      <c r="B1687" s="15"/>
      <c r="C1687" s="6"/>
      <c r="D1687" s="12"/>
      <c r="E1687" s="10" t="str">
        <f t="shared" si="131"/>
        <v/>
      </c>
      <c r="F1687" s="16"/>
      <c r="G1687" s="13"/>
      <c r="H1687" s="6"/>
      <c r="I1687" s="6"/>
      <c r="J1687" s="11" t="str">
        <f t="shared" si="132"/>
        <v/>
      </c>
      <c r="K1687" s="17" t="str">
        <f t="shared" si="133"/>
        <v/>
      </c>
      <c r="L1687" s="18" t="str">
        <f t="shared" si="134"/>
        <v/>
      </c>
      <c r="M1687" s="18" t="str">
        <f>IF(J1687&lt;&gt;-1,"",ROUND(F1687*IFERROR(INDEX(Stocuri!$G$5:$G$204,MATCH(D1687,Coduri,0)),0),2))</f>
        <v/>
      </c>
      <c r="N1687" s="19" t="str">
        <f t="shared" si="135"/>
        <v/>
      </c>
    </row>
    <row r="1688" spans="2:14" x14ac:dyDescent="0.2">
      <c r="B1688" s="15"/>
      <c r="C1688" s="6"/>
      <c r="D1688" s="12"/>
      <c r="E1688" s="10" t="str">
        <f t="shared" si="131"/>
        <v/>
      </c>
      <c r="F1688" s="16"/>
      <c r="G1688" s="13"/>
      <c r="H1688" s="6"/>
      <c r="I1688" s="6"/>
      <c r="J1688" s="11" t="str">
        <f t="shared" si="132"/>
        <v/>
      </c>
      <c r="K1688" s="17" t="str">
        <f t="shared" si="133"/>
        <v/>
      </c>
      <c r="L1688" s="18" t="str">
        <f t="shared" si="134"/>
        <v/>
      </c>
      <c r="M1688" s="18" t="str">
        <f>IF(J1688&lt;&gt;-1,"",ROUND(F1688*IFERROR(INDEX(Stocuri!$G$5:$G$204,MATCH(D1688,Coduri,0)),0),2))</f>
        <v/>
      </c>
      <c r="N1688" s="19" t="str">
        <f t="shared" si="135"/>
        <v/>
      </c>
    </row>
    <row r="1689" spans="2:14" x14ac:dyDescent="0.2">
      <c r="B1689" s="15"/>
      <c r="C1689" s="6"/>
      <c r="D1689" s="12"/>
      <c r="E1689" s="10" t="str">
        <f t="shared" si="131"/>
        <v/>
      </c>
      <c r="F1689" s="16"/>
      <c r="G1689" s="13"/>
      <c r="H1689" s="6"/>
      <c r="I1689" s="6"/>
      <c r="J1689" s="11" t="str">
        <f t="shared" si="132"/>
        <v/>
      </c>
      <c r="K1689" s="17" t="str">
        <f t="shared" si="133"/>
        <v/>
      </c>
      <c r="L1689" s="18" t="str">
        <f t="shared" si="134"/>
        <v/>
      </c>
      <c r="M1689" s="18" t="str">
        <f>IF(J1689&lt;&gt;-1,"",ROUND(F1689*IFERROR(INDEX(Stocuri!$G$5:$G$204,MATCH(D1689,Coduri,0)),0),2))</f>
        <v/>
      </c>
      <c r="N1689" s="19" t="str">
        <f t="shared" si="135"/>
        <v/>
      </c>
    </row>
    <row r="1690" spans="2:14" x14ac:dyDescent="0.2">
      <c r="B1690" s="15"/>
      <c r="C1690" s="6"/>
      <c r="D1690" s="12"/>
      <c r="E1690" s="10" t="str">
        <f t="shared" si="131"/>
        <v/>
      </c>
      <c r="F1690" s="16"/>
      <c r="G1690" s="13"/>
      <c r="H1690" s="6"/>
      <c r="I1690" s="6"/>
      <c r="J1690" s="11" t="str">
        <f t="shared" si="132"/>
        <v/>
      </c>
      <c r="K1690" s="17" t="str">
        <f t="shared" si="133"/>
        <v/>
      </c>
      <c r="L1690" s="18" t="str">
        <f t="shared" si="134"/>
        <v/>
      </c>
      <c r="M1690" s="18" t="str">
        <f>IF(J1690&lt;&gt;-1,"",ROUND(F1690*IFERROR(INDEX(Stocuri!$G$5:$G$204,MATCH(D1690,Coduri,0)),0),2))</f>
        <v/>
      </c>
      <c r="N1690" s="19" t="str">
        <f t="shared" si="135"/>
        <v/>
      </c>
    </row>
    <row r="1691" spans="2:14" x14ac:dyDescent="0.2">
      <c r="B1691" s="15"/>
      <c r="C1691" s="6"/>
      <c r="D1691" s="12"/>
      <c r="E1691" s="10" t="str">
        <f t="shared" si="131"/>
        <v/>
      </c>
      <c r="F1691" s="16"/>
      <c r="G1691" s="13"/>
      <c r="H1691" s="6"/>
      <c r="I1691" s="6"/>
      <c r="J1691" s="11" t="str">
        <f t="shared" si="132"/>
        <v/>
      </c>
      <c r="K1691" s="17" t="str">
        <f t="shared" si="133"/>
        <v/>
      </c>
      <c r="L1691" s="18" t="str">
        <f t="shared" si="134"/>
        <v/>
      </c>
      <c r="M1691" s="18" t="str">
        <f>IF(J1691&lt;&gt;-1,"",ROUND(F1691*IFERROR(INDEX(Stocuri!$G$5:$G$204,MATCH(D1691,Coduri,0)),0),2))</f>
        <v/>
      </c>
      <c r="N1691" s="19" t="str">
        <f t="shared" si="135"/>
        <v/>
      </c>
    </row>
    <row r="1692" spans="2:14" x14ac:dyDescent="0.2">
      <c r="B1692" s="15"/>
      <c r="C1692" s="6"/>
      <c r="D1692" s="12"/>
      <c r="E1692" s="10" t="str">
        <f t="shared" si="131"/>
        <v/>
      </c>
      <c r="F1692" s="16"/>
      <c r="G1692" s="13"/>
      <c r="H1692" s="6"/>
      <c r="I1692" s="6"/>
      <c r="J1692" s="11" t="str">
        <f t="shared" si="132"/>
        <v/>
      </c>
      <c r="K1692" s="17" t="str">
        <f t="shared" si="133"/>
        <v/>
      </c>
      <c r="L1692" s="18" t="str">
        <f t="shared" si="134"/>
        <v/>
      </c>
      <c r="M1692" s="18" t="str">
        <f>IF(J1692&lt;&gt;-1,"",ROUND(F1692*IFERROR(INDEX(Stocuri!$G$5:$G$204,MATCH(D1692,Coduri,0)),0),2))</f>
        <v/>
      </c>
      <c r="N1692" s="19" t="str">
        <f t="shared" si="135"/>
        <v/>
      </c>
    </row>
    <row r="1693" spans="2:14" x14ac:dyDescent="0.2">
      <c r="B1693" s="15"/>
      <c r="C1693" s="6"/>
      <c r="D1693" s="12"/>
      <c r="E1693" s="10" t="str">
        <f t="shared" si="131"/>
        <v/>
      </c>
      <c r="F1693" s="16"/>
      <c r="G1693" s="13"/>
      <c r="H1693" s="6"/>
      <c r="I1693" s="6"/>
      <c r="J1693" s="11" t="str">
        <f t="shared" si="132"/>
        <v/>
      </c>
      <c r="K1693" s="17" t="str">
        <f t="shared" si="133"/>
        <v/>
      </c>
      <c r="L1693" s="18" t="str">
        <f t="shared" si="134"/>
        <v/>
      </c>
      <c r="M1693" s="18" t="str">
        <f>IF(J1693&lt;&gt;-1,"",ROUND(F1693*IFERROR(INDEX(Stocuri!$G$5:$G$204,MATCH(D1693,Coduri,0)),0),2))</f>
        <v/>
      </c>
      <c r="N1693" s="19" t="str">
        <f t="shared" si="135"/>
        <v/>
      </c>
    </row>
    <row r="1694" spans="2:14" x14ac:dyDescent="0.2">
      <c r="B1694" s="15"/>
      <c r="C1694" s="6"/>
      <c r="D1694" s="12"/>
      <c r="E1694" s="10" t="str">
        <f t="shared" si="131"/>
        <v/>
      </c>
      <c r="F1694" s="16"/>
      <c r="G1694" s="13"/>
      <c r="H1694" s="6"/>
      <c r="I1694" s="6"/>
      <c r="J1694" s="11" t="str">
        <f t="shared" si="132"/>
        <v/>
      </c>
      <c r="K1694" s="17" t="str">
        <f t="shared" si="133"/>
        <v/>
      </c>
      <c r="L1694" s="18" t="str">
        <f t="shared" si="134"/>
        <v/>
      </c>
      <c r="M1694" s="18" t="str">
        <f>IF(J1694&lt;&gt;-1,"",ROUND(F1694*IFERROR(INDEX(Stocuri!$G$5:$G$204,MATCH(D1694,Coduri,0)),0),2))</f>
        <v/>
      </c>
      <c r="N1694" s="19" t="str">
        <f t="shared" si="135"/>
        <v/>
      </c>
    </row>
    <row r="1695" spans="2:14" x14ac:dyDescent="0.2">
      <c r="B1695" s="15"/>
      <c r="C1695" s="6"/>
      <c r="D1695" s="12"/>
      <c r="E1695" s="10" t="str">
        <f t="shared" si="131"/>
        <v/>
      </c>
      <c r="F1695" s="16"/>
      <c r="G1695" s="13"/>
      <c r="H1695" s="6"/>
      <c r="I1695" s="6"/>
      <c r="J1695" s="11" t="str">
        <f t="shared" si="132"/>
        <v/>
      </c>
      <c r="K1695" s="17" t="str">
        <f t="shared" si="133"/>
        <v/>
      </c>
      <c r="L1695" s="18" t="str">
        <f t="shared" si="134"/>
        <v/>
      </c>
      <c r="M1695" s="18" t="str">
        <f>IF(J1695&lt;&gt;-1,"",ROUND(F1695*IFERROR(INDEX(Stocuri!$G$5:$G$204,MATCH(D1695,Coduri,0)),0),2))</f>
        <v/>
      </c>
      <c r="N1695" s="19" t="str">
        <f t="shared" si="135"/>
        <v/>
      </c>
    </row>
    <row r="1696" spans="2:14" x14ac:dyDescent="0.2">
      <c r="B1696" s="15"/>
      <c r="C1696" s="6"/>
      <c r="D1696" s="12"/>
      <c r="E1696" s="10" t="str">
        <f t="shared" si="131"/>
        <v/>
      </c>
      <c r="F1696" s="16"/>
      <c r="G1696" s="13"/>
      <c r="H1696" s="6"/>
      <c r="I1696" s="6"/>
      <c r="J1696" s="11" t="str">
        <f t="shared" si="132"/>
        <v/>
      </c>
      <c r="K1696" s="17" t="str">
        <f t="shared" si="133"/>
        <v/>
      </c>
      <c r="L1696" s="18" t="str">
        <f t="shared" si="134"/>
        <v/>
      </c>
      <c r="M1696" s="18" t="str">
        <f>IF(J1696&lt;&gt;-1,"",ROUND(F1696*IFERROR(INDEX(Stocuri!$G$5:$G$204,MATCH(D1696,Coduri,0)),0),2))</f>
        <v/>
      </c>
      <c r="N1696" s="19" t="str">
        <f t="shared" si="135"/>
        <v/>
      </c>
    </row>
    <row r="1697" spans="2:14" x14ac:dyDescent="0.2">
      <c r="B1697" s="15"/>
      <c r="C1697" s="6"/>
      <c r="D1697" s="12"/>
      <c r="E1697" s="10" t="str">
        <f t="shared" si="131"/>
        <v/>
      </c>
      <c r="F1697" s="16"/>
      <c r="G1697" s="13"/>
      <c r="H1697" s="6"/>
      <c r="I1697" s="6"/>
      <c r="J1697" s="11" t="str">
        <f t="shared" si="132"/>
        <v/>
      </c>
      <c r="K1697" s="17" t="str">
        <f t="shared" si="133"/>
        <v/>
      </c>
      <c r="L1697" s="18" t="str">
        <f t="shared" si="134"/>
        <v/>
      </c>
      <c r="M1697" s="18" t="str">
        <f>IF(J1697&lt;&gt;-1,"",ROUND(F1697*IFERROR(INDEX(Stocuri!$G$5:$G$204,MATCH(D1697,Coduri,0)),0),2))</f>
        <v/>
      </c>
      <c r="N1697" s="19" t="str">
        <f t="shared" si="135"/>
        <v/>
      </c>
    </row>
    <row r="1698" spans="2:14" x14ac:dyDescent="0.2">
      <c r="B1698" s="15"/>
      <c r="C1698" s="6"/>
      <c r="D1698" s="12"/>
      <c r="E1698" s="10" t="str">
        <f t="shared" si="131"/>
        <v/>
      </c>
      <c r="F1698" s="16"/>
      <c r="G1698" s="13"/>
      <c r="H1698" s="6"/>
      <c r="I1698" s="6"/>
      <c r="J1698" s="11" t="str">
        <f t="shared" si="132"/>
        <v/>
      </c>
      <c r="K1698" s="17" t="str">
        <f t="shared" si="133"/>
        <v/>
      </c>
      <c r="L1698" s="18" t="str">
        <f t="shared" si="134"/>
        <v/>
      </c>
      <c r="M1698" s="18" t="str">
        <f>IF(J1698&lt;&gt;-1,"",ROUND(F1698*IFERROR(INDEX(Stocuri!$G$5:$G$204,MATCH(D1698,Coduri,0)),0),2))</f>
        <v/>
      </c>
      <c r="N1698" s="19" t="str">
        <f t="shared" si="135"/>
        <v/>
      </c>
    </row>
    <row r="1699" spans="2:14" x14ac:dyDescent="0.2">
      <c r="B1699" s="15"/>
      <c r="C1699" s="6"/>
      <c r="D1699" s="12"/>
      <c r="E1699" s="10" t="str">
        <f t="shared" si="131"/>
        <v/>
      </c>
      <c r="F1699" s="16"/>
      <c r="G1699" s="13"/>
      <c r="H1699" s="6"/>
      <c r="I1699" s="6"/>
      <c r="J1699" s="11" t="str">
        <f t="shared" si="132"/>
        <v/>
      </c>
      <c r="K1699" s="17" t="str">
        <f t="shared" si="133"/>
        <v/>
      </c>
      <c r="L1699" s="18" t="str">
        <f t="shared" si="134"/>
        <v/>
      </c>
      <c r="M1699" s="18" t="str">
        <f>IF(J1699&lt;&gt;-1,"",ROUND(F1699*IFERROR(INDEX(Stocuri!$G$5:$G$204,MATCH(D1699,Coduri,0)),0),2))</f>
        <v/>
      </c>
      <c r="N1699" s="19" t="str">
        <f t="shared" si="135"/>
        <v/>
      </c>
    </row>
    <row r="1700" spans="2:14" x14ac:dyDescent="0.2">
      <c r="B1700" s="15"/>
      <c r="C1700" s="6"/>
      <c r="D1700" s="12"/>
      <c r="E1700" s="10" t="str">
        <f t="shared" si="131"/>
        <v/>
      </c>
      <c r="F1700" s="16"/>
      <c r="G1700" s="13"/>
      <c r="H1700" s="6"/>
      <c r="I1700" s="6"/>
      <c r="J1700" s="11" t="str">
        <f t="shared" si="132"/>
        <v/>
      </c>
      <c r="K1700" s="17" t="str">
        <f t="shared" si="133"/>
        <v/>
      </c>
      <c r="L1700" s="18" t="str">
        <f t="shared" si="134"/>
        <v/>
      </c>
      <c r="M1700" s="18" t="str">
        <f>IF(J1700&lt;&gt;-1,"",ROUND(F1700*IFERROR(INDEX(Stocuri!$G$5:$G$204,MATCH(D1700,Coduri,0)),0),2))</f>
        <v/>
      </c>
      <c r="N1700" s="19" t="str">
        <f t="shared" si="135"/>
        <v/>
      </c>
    </row>
    <row r="1701" spans="2:14" x14ac:dyDescent="0.2">
      <c r="B1701" s="15"/>
      <c r="C1701" s="6"/>
      <c r="D1701" s="12"/>
      <c r="E1701" s="10" t="str">
        <f t="shared" si="131"/>
        <v/>
      </c>
      <c r="F1701" s="16"/>
      <c r="G1701" s="13"/>
      <c r="H1701" s="6"/>
      <c r="I1701" s="6"/>
      <c r="J1701" s="11" t="str">
        <f t="shared" si="132"/>
        <v/>
      </c>
      <c r="K1701" s="17" t="str">
        <f t="shared" si="133"/>
        <v/>
      </c>
      <c r="L1701" s="18" t="str">
        <f t="shared" si="134"/>
        <v/>
      </c>
      <c r="M1701" s="18" t="str">
        <f>IF(J1701&lt;&gt;-1,"",ROUND(F1701*IFERROR(INDEX(Stocuri!$G$5:$G$204,MATCH(D1701,Coduri,0)),0),2))</f>
        <v/>
      </c>
      <c r="N1701" s="19" t="str">
        <f t="shared" si="135"/>
        <v/>
      </c>
    </row>
    <row r="1702" spans="2:14" x14ac:dyDescent="0.2">
      <c r="B1702" s="15"/>
      <c r="C1702" s="6"/>
      <c r="D1702" s="12"/>
      <c r="E1702" s="10" t="str">
        <f t="shared" si="131"/>
        <v/>
      </c>
      <c r="F1702" s="16"/>
      <c r="G1702" s="13"/>
      <c r="H1702" s="6"/>
      <c r="I1702" s="6"/>
      <c r="J1702" s="11" t="str">
        <f t="shared" si="132"/>
        <v/>
      </c>
      <c r="K1702" s="17" t="str">
        <f t="shared" si="133"/>
        <v/>
      </c>
      <c r="L1702" s="18" t="str">
        <f t="shared" si="134"/>
        <v/>
      </c>
      <c r="M1702" s="18" t="str">
        <f>IF(J1702&lt;&gt;-1,"",ROUND(F1702*IFERROR(INDEX(Stocuri!$G$5:$G$204,MATCH(D1702,Coduri,0)),0),2))</f>
        <v/>
      </c>
      <c r="N1702" s="19" t="str">
        <f t="shared" si="135"/>
        <v/>
      </c>
    </row>
    <row r="1703" spans="2:14" x14ac:dyDescent="0.2">
      <c r="B1703" s="15"/>
      <c r="C1703" s="6"/>
      <c r="D1703" s="12"/>
      <c r="E1703" s="10" t="str">
        <f t="shared" si="131"/>
        <v/>
      </c>
      <c r="F1703" s="16"/>
      <c r="G1703" s="13"/>
      <c r="H1703" s="6"/>
      <c r="I1703" s="6"/>
      <c r="J1703" s="11" t="str">
        <f t="shared" si="132"/>
        <v/>
      </c>
      <c r="K1703" s="17" t="str">
        <f t="shared" si="133"/>
        <v/>
      </c>
      <c r="L1703" s="18" t="str">
        <f t="shared" si="134"/>
        <v/>
      </c>
      <c r="M1703" s="18" t="str">
        <f>IF(J1703&lt;&gt;-1,"",ROUND(F1703*IFERROR(INDEX(Stocuri!$G$5:$G$204,MATCH(D1703,Coduri,0)),0),2))</f>
        <v/>
      </c>
      <c r="N1703" s="19" t="str">
        <f t="shared" si="135"/>
        <v/>
      </c>
    </row>
    <row r="1704" spans="2:14" x14ac:dyDescent="0.2">
      <c r="B1704" s="15"/>
      <c r="C1704" s="6"/>
      <c r="D1704" s="12"/>
      <c r="E1704" s="10" t="str">
        <f t="shared" si="131"/>
        <v/>
      </c>
      <c r="F1704" s="16"/>
      <c r="G1704" s="13"/>
      <c r="H1704" s="6"/>
      <c r="I1704" s="6"/>
      <c r="J1704" s="11" t="str">
        <f t="shared" si="132"/>
        <v/>
      </c>
      <c r="K1704" s="17" t="str">
        <f t="shared" si="133"/>
        <v/>
      </c>
      <c r="L1704" s="18" t="str">
        <f t="shared" si="134"/>
        <v/>
      </c>
      <c r="M1704" s="18" t="str">
        <f>IF(J1704&lt;&gt;-1,"",ROUND(F1704*IFERROR(INDEX(Stocuri!$G$5:$G$204,MATCH(D1704,Coduri,0)),0),2))</f>
        <v/>
      </c>
      <c r="N1704" s="19" t="str">
        <f t="shared" si="135"/>
        <v/>
      </c>
    </row>
    <row r="1705" spans="2:14" x14ac:dyDescent="0.2">
      <c r="B1705" s="15"/>
      <c r="C1705" s="6"/>
      <c r="D1705" s="12"/>
      <c r="E1705" s="10" t="str">
        <f t="shared" si="131"/>
        <v/>
      </c>
      <c r="F1705" s="16"/>
      <c r="G1705" s="13"/>
      <c r="H1705" s="6"/>
      <c r="I1705" s="6"/>
      <c r="J1705" s="11" t="str">
        <f t="shared" si="132"/>
        <v/>
      </c>
      <c r="K1705" s="17" t="str">
        <f t="shared" si="133"/>
        <v/>
      </c>
      <c r="L1705" s="18" t="str">
        <f t="shared" si="134"/>
        <v/>
      </c>
      <c r="M1705" s="18" t="str">
        <f>IF(J1705&lt;&gt;-1,"",ROUND(F1705*IFERROR(INDEX(Stocuri!$G$5:$G$204,MATCH(D1705,Coduri,0)),0),2))</f>
        <v/>
      </c>
      <c r="N1705" s="19" t="str">
        <f t="shared" si="135"/>
        <v/>
      </c>
    </row>
    <row r="1706" spans="2:14" x14ac:dyDescent="0.2">
      <c r="B1706" s="15"/>
      <c r="C1706" s="6"/>
      <c r="D1706" s="12"/>
      <c r="E1706" s="10" t="str">
        <f t="shared" si="131"/>
        <v/>
      </c>
      <c r="F1706" s="16"/>
      <c r="G1706" s="13"/>
      <c r="H1706" s="6"/>
      <c r="I1706" s="6"/>
      <c r="J1706" s="11" t="str">
        <f t="shared" si="132"/>
        <v/>
      </c>
      <c r="K1706" s="17" t="str">
        <f t="shared" si="133"/>
        <v/>
      </c>
      <c r="L1706" s="18" t="str">
        <f t="shared" si="134"/>
        <v/>
      </c>
      <c r="M1706" s="18" t="str">
        <f>IF(J1706&lt;&gt;-1,"",ROUND(F1706*IFERROR(INDEX(Stocuri!$G$5:$G$204,MATCH(D1706,Coduri,0)),0),2))</f>
        <v/>
      </c>
      <c r="N1706" s="19" t="str">
        <f t="shared" si="135"/>
        <v/>
      </c>
    </row>
    <row r="1707" spans="2:14" x14ac:dyDescent="0.2">
      <c r="B1707" s="15"/>
      <c r="C1707" s="6"/>
      <c r="D1707" s="12"/>
      <c r="E1707" s="10" t="str">
        <f t="shared" si="131"/>
        <v/>
      </c>
      <c r="F1707" s="16"/>
      <c r="G1707" s="13"/>
      <c r="H1707" s="6"/>
      <c r="I1707" s="6"/>
      <c r="J1707" s="11" t="str">
        <f t="shared" si="132"/>
        <v/>
      </c>
      <c r="K1707" s="17" t="str">
        <f t="shared" si="133"/>
        <v/>
      </c>
      <c r="L1707" s="18" t="str">
        <f t="shared" si="134"/>
        <v/>
      </c>
      <c r="M1707" s="18" t="str">
        <f>IF(J1707&lt;&gt;-1,"",ROUND(F1707*IFERROR(INDEX(Stocuri!$G$5:$G$204,MATCH(D1707,Coduri,0)),0),2))</f>
        <v/>
      </c>
      <c r="N1707" s="19" t="str">
        <f t="shared" si="135"/>
        <v/>
      </c>
    </row>
    <row r="1708" spans="2:14" x14ac:dyDescent="0.2">
      <c r="B1708" s="15"/>
      <c r="C1708" s="6"/>
      <c r="D1708" s="12"/>
      <c r="E1708" s="10" t="str">
        <f t="shared" si="131"/>
        <v/>
      </c>
      <c r="F1708" s="16"/>
      <c r="G1708" s="13"/>
      <c r="H1708" s="6"/>
      <c r="I1708" s="6"/>
      <c r="J1708" s="11" t="str">
        <f t="shared" si="132"/>
        <v/>
      </c>
      <c r="K1708" s="17" t="str">
        <f t="shared" si="133"/>
        <v/>
      </c>
      <c r="L1708" s="18" t="str">
        <f t="shared" si="134"/>
        <v/>
      </c>
      <c r="M1708" s="18" t="str">
        <f>IF(J1708&lt;&gt;-1,"",ROUND(F1708*IFERROR(INDEX(Stocuri!$G$5:$G$204,MATCH(D1708,Coduri,0)),0),2))</f>
        <v/>
      </c>
      <c r="N1708" s="19" t="str">
        <f t="shared" si="135"/>
        <v/>
      </c>
    </row>
    <row r="1709" spans="2:14" x14ac:dyDescent="0.2">
      <c r="B1709" s="15"/>
      <c r="C1709" s="6"/>
      <c r="D1709" s="12"/>
      <c r="E1709" s="10" t="str">
        <f t="shared" si="131"/>
        <v/>
      </c>
      <c r="F1709" s="16"/>
      <c r="G1709" s="13"/>
      <c r="H1709" s="6"/>
      <c r="I1709" s="6"/>
      <c r="J1709" s="11" t="str">
        <f t="shared" si="132"/>
        <v/>
      </c>
      <c r="K1709" s="17" t="str">
        <f t="shared" si="133"/>
        <v/>
      </c>
      <c r="L1709" s="18" t="str">
        <f t="shared" si="134"/>
        <v/>
      </c>
      <c r="M1709" s="18" t="str">
        <f>IF(J1709&lt;&gt;-1,"",ROUND(F1709*IFERROR(INDEX(Stocuri!$G$5:$G$204,MATCH(D1709,Coduri,0)),0),2))</f>
        <v/>
      </c>
      <c r="N1709" s="19" t="str">
        <f t="shared" si="135"/>
        <v/>
      </c>
    </row>
    <row r="1710" spans="2:14" x14ac:dyDescent="0.2">
      <c r="B1710" s="15"/>
      <c r="C1710" s="6"/>
      <c r="D1710" s="12"/>
      <c r="E1710" s="10" t="str">
        <f t="shared" si="131"/>
        <v/>
      </c>
      <c r="F1710" s="16"/>
      <c r="G1710" s="13"/>
      <c r="H1710" s="6"/>
      <c r="I1710" s="6"/>
      <c r="J1710" s="11" t="str">
        <f t="shared" si="132"/>
        <v/>
      </c>
      <c r="K1710" s="17" t="str">
        <f t="shared" si="133"/>
        <v/>
      </c>
      <c r="L1710" s="18" t="str">
        <f t="shared" si="134"/>
        <v/>
      </c>
      <c r="M1710" s="18" t="str">
        <f>IF(J1710&lt;&gt;-1,"",ROUND(F1710*IFERROR(INDEX(Stocuri!$G$5:$G$204,MATCH(D1710,Coduri,0)),0),2))</f>
        <v/>
      </c>
      <c r="N1710" s="19" t="str">
        <f t="shared" si="135"/>
        <v/>
      </c>
    </row>
    <row r="1711" spans="2:14" x14ac:dyDescent="0.2">
      <c r="B1711" s="15"/>
      <c r="C1711" s="6"/>
      <c r="D1711" s="12"/>
      <c r="E1711" s="10" t="str">
        <f t="shared" si="131"/>
        <v/>
      </c>
      <c r="F1711" s="16"/>
      <c r="G1711" s="13"/>
      <c r="H1711" s="6"/>
      <c r="I1711" s="6"/>
      <c r="J1711" s="11" t="str">
        <f t="shared" si="132"/>
        <v/>
      </c>
      <c r="K1711" s="17" t="str">
        <f t="shared" si="133"/>
        <v/>
      </c>
      <c r="L1711" s="18" t="str">
        <f t="shared" si="134"/>
        <v/>
      </c>
      <c r="M1711" s="18" t="str">
        <f>IF(J1711&lt;&gt;-1,"",ROUND(F1711*IFERROR(INDEX(Stocuri!$G$5:$G$204,MATCH(D1711,Coduri,0)),0),2))</f>
        <v/>
      </c>
      <c r="N1711" s="19" t="str">
        <f t="shared" si="135"/>
        <v/>
      </c>
    </row>
    <row r="1712" spans="2:14" x14ac:dyDescent="0.2">
      <c r="B1712" s="15"/>
      <c r="C1712" s="6"/>
      <c r="D1712" s="12"/>
      <c r="E1712" s="10" t="str">
        <f t="shared" si="131"/>
        <v/>
      </c>
      <c r="F1712" s="16"/>
      <c r="G1712" s="13"/>
      <c r="H1712" s="6"/>
      <c r="I1712" s="6"/>
      <c r="J1712" s="11" t="str">
        <f t="shared" si="132"/>
        <v/>
      </c>
      <c r="K1712" s="17" t="str">
        <f t="shared" si="133"/>
        <v/>
      </c>
      <c r="L1712" s="18" t="str">
        <f t="shared" si="134"/>
        <v/>
      </c>
      <c r="M1712" s="18" t="str">
        <f>IF(J1712&lt;&gt;-1,"",ROUND(F1712*IFERROR(INDEX(Stocuri!$G$5:$G$204,MATCH(D1712,Coduri,0)),0),2))</f>
        <v/>
      </c>
      <c r="N1712" s="19" t="str">
        <f t="shared" si="135"/>
        <v/>
      </c>
    </row>
    <row r="1713" spans="2:14" x14ac:dyDescent="0.2">
      <c r="B1713" s="15"/>
      <c r="C1713" s="6"/>
      <c r="D1713" s="12"/>
      <c r="E1713" s="10" t="str">
        <f t="shared" si="131"/>
        <v/>
      </c>
      <c r="F1713" s="16"/>
      <c r="G1713" s="13"/>
      <c r="H1713" s="6"/>
      <c r="I1713" s="6"/>
      <c r="J1713" s="11" t="str">
        <f t="shared" si="132"/>
        <v/>
      </c>
      <c r="K1713" s="17" t="str">
        <f t="shared" si="133"/>
        <v/>
      </c>
      <c r="L1713" s="18" t="str">
        <f t="shared" si="134"/>
        <v/>
      </c>
      <c r="M1713" s="18" t="str">
        <f>IF(J1713&lt;&gt;-1,"",ROUND(F1713*IFERROR(INDEX(Stocuri!$G$5:$G$204,MATCH(D1713,Coduri,0)),0),2))</f>
        <v/>
      </c>
      <c r="N1713" s="19" t="str">
        <f t="shared" si="135"/>
        <v/>
      </c>
    </row>
    <row r="1714" spans="2:14" x14ac:dyDescent="0.2">
      <c r="B1714" s="15"/>
      <c r="C1714" s="6"/>
      <c r="D1714" s="12"/>
      <c r="E1714" s="10" t="str">
        <f t="shared" si="131"/>
        <v/>
      </c>
      <c r="F1714" s="16"/>
      <c r="G1714" s="13"/>
      <c r="H1714" s="6"/>
      <c r="I1714" s="6"/>
      <c r="J1714" s="11" t="str">
        <f t="shared" si="132"/>
        <v/>
      </c>
      <c r="K1714" s="17" t="str">
        <f t="shared" si="133"/>
        <v/>
      </c>
      <c r="L1714" s="18" t="str">
        <f t="shared" si="134"/>
        <v/>
      </c>
      <c r="M1714" s="18" t="str">
        <f>IF(J1714&lt;&gt;-1,"",ROUND(F1714*IFERROR(INDEX(Stocuri!$G$5:$G$204,MATCH(D1714,Coduri,0)),0),2))</f>
        <v/>
      </c>
      <c r="N1714" s="19" t="str">
        <f t="shared" si="135"/>
        <v/>
      </c>
    </row>
    <row r="1715" spans="2:14" x14ac:dyDescent="0.2">
      <c r="B1715" s="15"/>
      <c r="C1715" s="6"/>
      <c r="D1715" s="12"/>
      <c r="E1715" s="10" t="str">
        <f t="shared" si="131"/>
        <v/>
      </c>
      <c r="F1715" s="16"/>
      <c r="G1715" s="13"/>
      <c r="H1715" s="6"/>
      <c r="I1715" s="6"/>
      <c r="J1715" s="11" t="str">
        <f t="shared" si="132"/>
        <v/>
      </c>
      <c r="K1715" s="17" t="str">
        <f t="shared" si="133"/>
        <v/>
      </c>
      <c r="L1715" s="18" t="str">
        <f t="shared" si="134"/>
        <v/>
      </c>
      <c r="M1715" s="18" t="str">
        <f>IF(J1715&lt;&gt;-1,"",ROUND(F1715*IFERROR(INDEX(Stocuri!$G$5:$G$204,MATCH(D1715,Coduri,0)),0),2))</f>
        <v/>
      </c>
      <c r="N1715" s="19" t="str">
        <f t="shared" si="135"/>
        <v/>
      </c>
    </row>
    <row r="1716" spans="2:14" x14ac:dyDescent="0.2">
      <c r="B1716" s="15"/>
      <c r="C1716" s="6"/>
      <c r="D1716" s="12"/>
      <c r="E1716" s="10" t="str">
        <f t="shared" si="131"/>
        <v/>
      </c>
      <c r="F1716" s="16"/>
      <c r="G1716" s="13"/>
      <c r="H1716" s="6"/>
      <c r="I1716" s="6"/>
      <c r="J1716" s="11" t="str">
        <f t="shared" si="132"/>
        <v/>
      </c>
      <c r="K1716" s="17" t="str">
        <f t="shared" si="133"/>
        <v/>
      </c>
      <c r="L1716" s="18" t="str">
        <f t="shared" si="134"/>
        <v/>
      </c>
      <c r="M1716" s="18" t="str">
        <f>IF(J1716&lt;&gt;-1,"",ROUND(F1716*IFERROR(INDEX(Stocuri!$G$5:$G$204,MATCH(D1716,Coduri,0)),0),2))</f>
        <v/>
      </c>
      <c r="N1716" s="19" t="str">
        <f t="shared" si="135"/>
        <v/>
      </c>
    </row>
    <row r="1717" spans="2:14" x14ac:dyDescent="0.2">
      <c r="B1717" s="15"/>
      <c r="C1717" s="6"/>
      <c r="D1717" s="12"/>
      <c r="E1717" s="10" t="str">
        <f t="shared" si="131"/>
        <v/>
      </c>
      <c r="F1717" s="16"/>
      <c r="G1717" s="13"/>
      <c r="H1717" s="6"/>
      <c r="I1717" s="6"/>
      <c r="J1717" s="11" t="str">
        <f t="shared" si="132"/>
        <v/>
      </c>
      <c r="K1717" s="17" t="str">
        <f t="shared" si="133"/>
        <v/>
      </c>
      <c r="L1717" s="18" t="str">
        <f t="shared" si="134"/>
        <v/>
      </c>
      <c r="M1717" s="18" t="str">
        <f>IF(J1717&lt;&gt;-1,"",ROUND(F1717*IFERROR(INDEX(Stocuri!$G$5:$G$204,MATCH(D1717,Coduri,0)),0),2))</f>
        <v/>
      </c>
      <c r="N1717" s="19" t="str">
        <f t="shared" si="135"/>
        <v/>
      </c>
    </row>
    <row r="1718" spans="2:14" x14ac:dyDescent="0.2">
      <c r="B1718" s="15"/>
      <c r="C1718" s="6"/>
      <c r="D1718" s="12"/>
      <c r="E1718" s="10" t="str">
        <f t="shared" si="131"/>
        <v/>
      </c>
      <c r="F1718" s="16"/>
      <c r="G1718" s="13"/>
      <c r="H1718" s="6"/>
      <c r="I1718" s="6"/>
      <c r="J1718" s="11" t="str">
        <f t="shared" si="132"/>
        <v/>
      </c>
      <c r="K1718" s="17" t="str">
        <f t="shared" si="133"/>
        <v/>
      </c>
      <c r="L1718" s="18" t="str">
        <f t="shared" si="134"/>
        <v/>
      </c>
      <c r="M1718" s="18" t="str">
        <f>IF(J1718&lt;&gt;-1,"",ROUND(F1718*IFERROR(INDEX(Stocuri!$G$5:$G$204,MATCH(D1718,Coduri,0)),0),2))</f>
        <v/>
      </c>
      <c r="N1718" s="19" t="str">
        <f t="shared" si="135"/>
        <v/>
      </c>
    </row>
    <row r="1719" spans="2:14" x14ac:dyDescent="0.2">
      <c r="B1719" s="15"/>
      <c r="C1719" s="6"/>
      <c r="D1719" s="12"/>
      <c r="E1719" s="10" t="str">
        <f t="shared" si="131"/>
        <v/>
      </c>
      <c r="F1719" s="16"/>
      <c r="G1719" s="13"/>
      <c r="H1719" s="6"/>
      <c r="I1719" s="6"/>
      <c r="J1719" s="11" t="str">
        <f t="shared" si="132"/>
        <v/>
      </c>
      <c r="K1719" s="17" t="str">
        <f t="shared" si="133"/>
        <v/>
      </c>
      <c r="L1719" s="18" t="str">
        <f t="shared" si="134"/>
        <v/>
      </c>
      <c r="M1719" s="18" t="str">
        <f>IF(J1719&lt;&gt;-1,"",ROUND(F1719*IFERROR(INDEX(Stocuri!$G$5:$G$204,MATCH(D1719,Coduri,0)),0),2))</f>
        <v/>
      </c>
      <c r="N1719" s="19" t="str">
        <f t="shared" si="135"/>
        <v/>
      </c>
    </row>
    <row r="1720" spans="2:14" x14ac:dyDescent="0.2">
      <c r="B1720" s="15"/>
      <c r="C1720" s="6"/>
      <c r="D1720" s="12"/>
      <c r="E1720" s="10" t="str">
        <f t="shared" si="131"/>
        <v/>
      </c>
      <c r="F1720" s="16"/>
      <c r="G1720" s="13"/>
      <c r="H1720" s="6"/>
      <c r="I1720" s="6"/>
      <c r="J1720" s="11" t="str">
        <f t="shared" si="132"/>
        <v/>
      </c>
      <c r="K1720" s="17" t="str">
        <f t="shared" si="133"/>
        <v/>
      </c>
      <c r="L1720" s="18" t="str">
        <f t="shared" si="134"/>
        <v/>
      </c>
      <c r="M1720" s="18" t="str">
        <f>IF(J1720&lt;&gt;-1,"",ROUND(F1720*IFERROR(INDEX(Stocuri!$G$5:$G$204,MATCH(D1720,Coduri,0)),0),2))</f>
        <v/>
      </c>
      <c r="N1720" s="19" t="str">
        <f t="shared" si="135"/>
        <v/>
      </c>
    </row>
    <row r="1721" spans="2:14" x14ac:dyDescent="0.2">
      <c r="B1721" s="15"/>
      <c r="C1721" s="6"/>
      <c r="D1721" s="12"/>
      <c r="E1721" s="10" t="str">
        <f t="shared" si="131"/>
        <v/>
      </c>
      <c r="F1721" s="16"/>
      <c r="G1721" s="13"/>
      <c r="H1721" s="6"/>
      <c r="I1721" s="6"/>
      <c r="J1721" s="11" t="str">
        <f t="shared" si="132"/>
        <v/>
      </c>
      <c r="K1721" s="17" t="str">
        <f t="shared" si="133"/>
        <v/>
      </c>
      <c r="L1721" s="18" t="str">
        <f t="shared" si="134"/>
        <v/>
      </c>
      <c r="M1721" s="18" t="str">
        <f>IF(J1721&lt;&gt;-1,"",ROUND(F1721*IFERROR(INDEX(Stocuri!$G$5:$G$204,MATCH(D1721,Coduri,0)),0),2))</f>
        <v/>
      </c>
      <c r="N1721" s="19" t="str">
        <f t="shared" si="135"/>
        <v/>
      </c>
    </row>
    <row r="1722" spans="2:14" x14ac:dyDescent="0.2">
      <c r="B1722" s="15"/>
      <c r="C1722" s="6"/>
      <c r="D1722" s="12"/>
      <c r="E1722" s="10" t="str">
        <f t="shared" si="131"/>
        <v/>
      </c>
      <c r="F1722" s="16"/>
      <c r="G1722" s="13"/>
      <c r="H1722" s="6"/>
      <c r="I1722" s="6"/>
      <c r="J1722" s="11" t="str">
        <f t="shared" si="132"/>
        <v/>
      </c>
      <c r="K1722" s="17" t="str">
        <f t="shared" si="133"/>
        <v/>
      </c>
      <c r="L1722" s="18" t="str">
        <f t="shared" si="134"/>
        <v/>
      </c>
      <c r="M1722" s="18" t="str">
        <f>IF(J1722&lt;&gt;-1,"",ROUND(F1722*IFERROR(INDEX(Stocuri!$G$5:$G$204,MATCH(D1722,Coduri,0)),0),2))</f>
        <v/>
      </c>
      <c r="N1722" s="19" t="str">
        <f t="shared" si="135"/>
        <v/>
      </c>
    </row>
    <row r="1723" spans="2:14" x14ac:dyDescent="0.2">
      <c r="B1723" s="15"/>
      <c r="C1723" s="6"/>
      <c r="D1723" s="12"/>
      <c r="E1723" s="10" t="str">
        <f t="shared" si="131"/>
        <v/>
      </c>
      <c r="F1723" s="16"/>
      <c r="G1723" s="13"/>
      <c r="H1723" s="6"/>
      <c r="I1723" s="6"/>
      <c r="J1723" s="11" t="str">
        <f t="shared" si="132"/>
        <v/>
      </c>
      <c r="K1723" s="17" t="str">
        <f t="shared" si="133"/>
        <v/>
      </c>
      <c r="L1723" s="18" t="str">
        <f t="shared" si="134"/>
        <v/>
      </c>
      <c r="M1723" s="18" t="str">
        <f>IF(J1723&lt;&gt;-1,"",ROUND(F1723*IFERROR(INDEX(Stocuri!$G$5:$G$204,MATCH(D1723,Coduri,0)),0),2))</f>
        <v/>
      </c>
      <c r="N1723" s="19" t="str">
        <f t="shared" si="135"/>
        <v/>
      </c>
    </row>
    <row r="1724" spans="2:14" x14ac:dyDescent="0.2">
      <c r="B1724" s="15"/>
      <c r="C1724" s="6"/>
      <c r="D1724" s="12"/>
      <c r="E1724" s="10" t="str">
        <f t="shared" si="131"/>
        <v/>
      </c>
      <c r="F1724" s="16"/>
      <c r="G1724" s="13"/>
      <c r="H1724" s="6"/>
      <c r="I1724" s="6"/>
      <c r="J1724" s="11" t="str">
        <f t="shared" si="132"/>
        <v/>
      </c>
      <c r="K1724" s="17" t="str">
        <f t="shared" si="133"/>
        <v/>
      </c>
      <c r="L1724" s="18" t="str">
        <f t="shared" si="134"/>
        <v/>
      </c>
      <c r="M1724" s="18" t="str">
        <f>IF(J1724&lt;&gt;-1,"",ROUND(F1724*IFERROR(INDEX(Stocuri!$G$5:$G$204,MATCH(D1724,Coduri,0)),0),2))</f>
        <v/>
      </c>
      <c r="N1724" s="19" t="str">
        <f t="shared" si="135"/>
        <v/>
      </c>
    </row>
    <row r="1725" spans="2:14" x14ac:dyDescent="0.2">
      <c r="B1725" s="15"/>
      <c r="C1725" s="6"/>
      <c r="D1725" s="12"/>
      <c r="E1725" s="10" t="str">
        <f t="shared" si="131"/>
        <v/>
      </c>
      <c r="F1725" s="16"/>
      <c r="G1725" s="13"/>
      <c r="H1725" s="6"/>
      <c r="I1725" s="6"/>
      <c r="J1725" s="11" t="str">
        <f t="shared" si="132"/>
        <v/>
      </c>
      <c r="K1725" s="17" t="str">
        <f t="shared" si="133"/>
        <v/>
      </c>
      <c r="L1725" s="18" t="str">
        <f t="shared" si="134"/>
        <v/>
      </c>
      <c r="M1725" s="18" t="str">
        <f>IF(J1725&lt;&gt;-1,"",ROUND(F1725*IFERROR(INDEX(Stocuri!$G$5:$G$204,MATCH(D1725,Coduri,0)),0),2))</f>
        <v/>
      </c>
      <c r="N1725" s="19" t="str">
        <f t="shared" si="135"/>
        <v/>
      </c>
    </row>
    <row r="1726" spans="2:14" x14ac:dyDescent="0.2">
      <c r="B1726" s="15"/>
      <c r="C1726" s="6"/>
      <c r="D1726" s="12"/>
      <c r="E1726" s="10" t="str">
        <f t="shared" si="131"/>
        <v/>
      </c>
      <c r="F1726" s="16"/>
      <c r="G1726" s="13"/>
      <c r="H1726" s="6"/>
      <c r="I1726" s="6"/>
      <c r="J1726" s="11" t="str">
        <f t="shared" si="132"/>
        <v/>
      </c>
      <c r="K1726" s="17" t="str">
        <f t="shared" si="133"/>
        <v/>
      </c>
      <c r="L1726" s="18" t="str">
        <f t="shared" si="134"/>
        <v/>
      </c>
      <c r="M1726" s="18" t="str">
        <f>IF(J1726&lt;&gt;-1,"",ROUND(F1726*IFERROR(INDEX(Stocuri!$G$5:$G$204,MATCH(D1726,Coduri,0)),0),2))</f>
        <v/>
      </c>
      <c r="N1726" s="19" t="str">
        <f t="shared" si="135"/>
        <v/>
      </c>
    </row>
    <row r="1727" spans="2:14" x14ac:dyDescent="0.2">
      <c r="B1727" s="15"/>
      <c r="C1727" s="6"/>
      <c r="D1727" s="12"/>
      <c r="E1727" s="10" t="str">
        <f t="shared" si="131"/>
        <v/>
      </c>
      <c r="F1727" s="16"/>
      <c r="G1727" s="13"/>
      <c r="H1727" s="6"/>
      <c r="I1727" s="6"/>
      <c r="J1727" s="11" t="str">
        <f t="shared" si="132"/>
        <v/>
      </c>
      <c r="K1727" s="17" t="str">
        <f t="shared" si="133"/>
        <v/>
      </c>
      <c r="L1727" s="18" t="str">
        <f t="shared" si="134"/>
        <v/>
      </c>
      <c r="M1727" s="18" t="str">
        <f>IF(J1727&lt;&gt;-1,"",ROUND(F1727*IFERROR(INDEX(Stocuri!$G$5:$G$204,MATCH(D1727,Coduri,0)),0),2))</f>
        <v/>
      </c>
      <c r="N1727" s="19" t="str">
        <f t="shared" si="135"/>
        <v/>
      </c>
    </row>
    <row r="1728" spans="2:14" x14ac:dyDescent="0.2">
      <c r="B1728" s="15"/>
      <c r="C1728" s="6"/>
      <c r="D1728" s="12"/>
      <c r="E1728" s="10" t="str">
        <f t="shared" si="131"/>
        <v/>
      </c>
      <c r="F1728" s="16"/>
      <c r="G1728" s="13"/>
      <c r="H1728" s="6"/>
      <c r="I1728" s="6"/>
      <c r="J1728" s="11" t="str">
        <f t="shared" si="132"/>
        <v/>
      </c>
      <c r="K1728" s="17" t="str">
        <f t="shared" si="133"/>
        <v/>
      </c>
      <c r="L1728" s="18" t="str">
        <f t="shared" si="134"/>
        <v/>
      </c>
      <c r="M1728" s="18" t="str">
        <f>IF(J1728&lt;&gt;-1,"",ROUND(F1728*IFERROR(INDEX(Stocuri!$G$5:$G$204,MATCH(D1728,Coduri,0)),0),2))</f>
        <v/>
      </c>
      <c r="N1728" s="19" t="str">
        <f t="shared" si="135"/>
        <v/>
      </c>
    </row>
    <row r="1729" spans="2:14" x14ac:dyDescent="0.2">
      <c r="B1729" s="15"/>
      <c r="C1729" s="6"/>
      <c r="D1729" s="12"/>
      <c r="E1729" s="10" t="str">
        <f t="shared" si="131"/>
        <v/>
      </c>
      <c r="F1729" s="16"/>
      <c r="G1729" s="13"/>
      <c r="H1729" s="6"/>
      <c r="I1729" s="6"/>
      <c r="J1729" s="11" t="str">
        <f t="shared" si="132"/>
        <v/>
      </c>
      <c r="K1729" s="17" t="str">
        <f t="shared" si="133"/>
        <v/>
      </c>
      <c r="L1729" s="18" t="str">
        <f t="shared" si="134"/>
        <v/>
      </c>
      <c r="M1729" s="18" t="str">
        <f>IF(J1729&lt;&gt;-1,"",ROUND(F1729*IFERROR(INDEX(Stocuri!$G$5:$G$204,MATCH(D1729,Coduri,0)),0),2))</f>
        <v/>
      </c>
      <c r="N1729" s="19" t="str">
        <f t="shared" si="135"/>
        <v/>
      </c>
    </row>
    <row r="1730" spans="2:14" x14ac:dyDescent="0.2">
      <c r="B1730" s="15"/>
      <c r="C1730" s="6"/>
      <c r="D1730" s="12"/>
      <c r="E1730" s="10" t="str">
        <f t="shared" si="131"/>
        <v/>
      </c>
      <c r="F1730" s="16"/>
      <c r="G1730" s="13"/>
      <c r="H1730" s="6"/>
      <c r="I1730" s="6"/>
      <c r="J1730" s="11" t="str">
        <f t="shared" si="132"/>
        <v/>
      </c>
      <c r="K1730" s="17" t="str">
        <f t="shared" si="133"/>
        <v/>
      </c>
      <c r="L1730" s="18" t="str">
        <f t="shared" si="134"/>
        <v/>
      </c>
      <c r="M1730" s="18" t="str">
        <f>IF(J1730&lt;&gt;-1,"",ROUND(F1730*IFERROR(INDEX(Stocuri!$G$5:$G$204,MATCH(D1730,Coduri,0)),0),2))</f>
        <v/>
      </c>
      <c r="N1730" s="19" t="str">
        <f t="shared" si="135"/>
        <v/>
      </c>
    </row>
    <row r="1731" spans="2:14" x14ac:dyDescent="0.2">
      <c r="B1731" s="15"/>
      <c r="C1731" s="6"/>
      <c r="D1731" s="12"/>
      <c r="E1731" s="10" t="str">
        <f t="shared" si="131"/>
        <v/>
      </c>
      <c r="F1731" s="16"/>
      <c r="G1731" s="13"/>
      <c r="H1731" s="6"/>
      <c r="I1731" s="6"/>
      <c r="J1731" s="11" t="str">
        <f t="shared" si="132"/>
        <v/>
      </c>
      <c r="K1731" s="17" t="str">
        <f t="shared" si="133"/>
        <v/>
      </c>
      <c r="L1731" s="18" t="str">
        <f t="shared" si="134"/>
        <v/>
      </c>
      <c r="M1731" s="18" t="str">
        <f>IF(J1731&lt;&gt;-1,"",ROUND(F1731*IFERROR(INDEX(Stocuri!$G$5:$G$204,MATCH(D1731,Coduri,0)),0),2))</f>
        <v/>
      </c>
      <c r="N1731" s="19" t="str">
        <f t="shared" si="135"/>
        <v/>
      </c>
    </row>
    <row r="1732" spans="2:14" x14ac:dyDescent="0.2">
      <c r="B1732" s="15"/>
      <c r="C1732" s="6"/>
      <c r="D1732" s="12"/>
      <c r="E1732" s="10" t="str">
        <f t="shared" si="131"/>
        <v/>
      </c>
      <c r="F1732" s="16"/>
      <c r="G1732" s="13"/>
      <c r="H1732" s="6"/>
      <c r="I1732" s="6"/>
      <c r="J1732" s="11" t="str">
        <f t="shared" si="132"/>
        <v/>
      </c>
      <c r="K1732" s="17" t="str">
        <f t="shared" si="133"/>
        <v/>
      </c>
      <c r="L1732" s="18" t="str">
        <f t="shared" si="134"/>
        <v/>
      </c>
      <c r="M1732" s="18" t="str">
        <f>IF(J1732&lt;&gt;-1,"",ROUND(F1732*IFERROR(INDEX(Stocuri!$G$5:$G$204,MATCH(D1732,Coduri,0)),0),2))</f>
        <v/>
      </c>
      <c r="N1732" s="19" t="str">
        <f t="shared" si="135"/>
        <v/>
      </c>
    </row>
    <row r="1733" spans="2:14" x14ac:dyDescent="0.2">
      <c r="B1733" s="15"/>
      <c r="C1733" s="6"/>
      <c r="D1733" s="12"/>
      <c r="E1733" s="10" t="str">
        <f t="shared" ref="E1733:E1796" si="136">IF(D1733="","",IFERROR(VLOOKUP(D1733,Catalog,2,FALSE),""))</f>
        <v/>
      </c>
      <c r="F1733" s="16"/>
      <c r="G1733" s="13"/>
      <c r="H1733" s="6"/>
      <c r="I1733" s="6"/>
      <c r="J1733" s="11" t="str">
        <f t="shared" ref="J1733:J1796" si="137">IF(C1733="","",IFERROR(VLOOKUP(C1733,TipSemn,2,FALSE),""))</f>
        <v/>
      </c>
      <c r="K1733" s="17" t="str">
        <f t="shared" ref="K1733:K1796" si="138">IF(OR(J1733="",F1733=""),"",J1733*F1733)</f>
        <v/>
      </c>
      <c r="L1733" s="18" t="str">
        <f t="shared" ref="L1733:L1796" si="139">IF(OR(J1733&lt;&gt;1,G1733=""),"",ROUND(F1733*G1733,2))</f>
        <v/>
      </c>
      <c r="M1733" s="18" t="str">
        <f>IF(J1733&lt;&gt;-1,"",ROUND(F1733*IFERROR(INDEX(Stocuri!$G$5:$G$204,MATCH(D1733,Coduri,0)),0),2))</f>
        <v/>
      </c>
      <c r="N1733" s="19" t="str">
        <f t="shared" ref="N1733:N1796" si="140">IF(AND(B1733="",D1733=""),"",TRIM(IF(OR(B1733="",C1733="",D1733="",F1733=""),"Date incomplete. ","")&amp;IF(AND(D1733&lt;&gt;"",E1733=""),"Cod necunoscut. ","")&amp;IF(AND(J1733=1,C1733&lt;&gt;"Retur de la client",C1733&lt;&gt;"Ajustare inventar +",G1733=""),"Lipsește prețul de intrare. ","")&amp;IF(AND(J1733=-1,D1733&lt;&gt;"",SUMIFS($K$5:$K$2004,$D$5:$D$2004,D1733,$B$5:$B$2004,"&lt;="&amp;B1733)&lt;0),"Stoc insuficient la această dată. ","")&amp;IF(AND(C1733&lt;&gt;"Stoc inițial",H1733=""),"Lipsește documentul. ","")))</f>
        <v/>
      </c>
    </row>
    <row r="1734" spans="2:14" x14ac:dyDescent="0.2">
      <c r="B1734" s="15"/>
      <c r="C1734" s="6"/>
      <c r="D1734" s="12"/>
      <c r="E1734" s="10" t="str">
        <f t="shared" si="136"/>
        <v/>
      </c>
      <c r="F1734" s="16"/>
      <c r="G1734" s="13"/>
      <c r="H1734" s="6"/>
      <c r="I1734" s="6"/>
      <c r="J1734" s="11" t="str">
        <f t="shared" si="137"/>
        <v/>
      </c>
      <c r="K1734" s="17" t="str">
        <f t="shared" si="138"/>
        <v/>
      </c>
      <c r="L1734" s="18" t="str">
        <f t="shared" si="139"/>
        <v/>
      </c>
      <c r="M1734" s="18" t="str">
        <f>IF(J1734&lt;&gt;-1,"",ROUND(F1734*IFERROR(INDEX(Stocuri!$G$5:$G$204,MATCH(D1734,Coduri,0)),0),2))</f>
        <v/>
      </c>
      <c r="N1734" s="19" t="str">
        <f t="shared" si="140"/>
        <v/>
      </c>
    </row>
    <row r="1735" spans="2:14" x14ac:dyDescent="0.2">
      <c r="B1735" s="15"/>
      <c r="C1735" s="6"/>
      <c r="D1735" s="12"/>
      <c r="E1735" s="10" t="str">
        <f t="shared" si="136"/>
        <v/>
      </c>
      <c r="F1735" s="16"/>
      <c r="G1735" s="13"/>
      <c r="H1735" s="6"/>
      <c r="I1735" s="6"/>
      <c r="J1735" s="11" t="str">
        <f t="shared" si="137"/>
        <v/>
      </c>
      <c r="K1735" s="17" t="str">
        <f t="shared" si="138"/>
        <v/>
      </c>
      <c r="L1735" s="18" t="str">
        <f t="shared" si="139"/>
        <v/>
      </c>
      <c r="M1735" s="18" t="str">
        <f>IF(J1735&lt;&gt;-1,"",ROUND(F1735*IFERROR(INDEX(Stocuri!$G$5:$G$204,MATCH(D1735,Coduri,0)),0),2))</f>
        <v/>
      </c>
      <c r="N1735" s="19" t="str">
        <f t="shared" si="140"/>
        <v/>
      </c>
    </row>
    <row r="1736" spans="2:14" x14ac:dyDescent="0.2">
      <c r="B1736" s="15"/>
      <c r="C1736" s="6"/>
      <c r="D1736" s="12"/>
      <c r="E1736" s="10" t="str">
        <f t="shared" si="136"/>
        <v/>
      </c>
      <c r="F1736" s="16"/>
      <c r="G1736" s="13"/>
      <c r="H1736" s="6"/>
      <c r="I1736" s="6"/>
      <c r="J1736" s="11" t="str">
        <f t="shared" si="137"/>
        <v/>
      </c>
      <c r="K1736" s="17" t="str">
        <f t="shared" si="138"/>
        <v/>
      </c>
      <c r="L1736" s="18" t="str">
        <f t="shared" si="139"/>
        <v/>
      </c>
      <c r="M1736" s="18" t="str">
        <f>IF(J1736&lt;&gt;-1,"",ROUND(F1736*IFERROR(INDEX(Stocuri!$G$5:$G$204,MATCH(D1736,Coduri,0)),0),2))</f>
        <v/>
      </c>
      <c r="N1736" s="19" t="str">
        <f t="shared" si="140"/>
        <v/>
      </c>
    </row>
    <row r="1737" spans="2:14" x14ac:dyDescent="0.2">
      <c r="B1737" s="15"/>
      <c r="C1737" s="6"/>
      <c r="D1737" s="12"/>
      <c r="E1737" s="10" t="str">
        <f t="shared" si="136"/>
        <v/>
      </c>
      <c r="F1737" s="16"/>
      <c r="G1737" s="13"/>
      <c r="H1737" s="6"/>
      <c r="I1737" s="6"/>
      <c r="J1737" s="11" t="str">
        <f t="shared" si="137"/>
        <v/>
      </c>
      <c r="K1737" s="17" t="str">
        <f t="shared" si="138"/>
        <v/>
      </c>
      <c r="L1737" s="18" t="str">
        <f t="shared" si="139"/>
        <v/>
      </c>
      <c r="M1737" s="18" t="str">
        <f>IF(J1737&lt;&gt;-1,"",ROUND(F1737*IFERROR(INDEX(Stocuri!$G$5:$G$204,MATCH(D1737,Coduri,0)),0),2))</f>
        <v/>
      </c>
      <c r="N1737" s="19" t="str">
        <f t="shared" si="140"/>
        <v/>
      </c>
    </row>
    <row r="1738" spans="2:14" x14ac:dyDescent="0.2">
      <c r="B1738" s="15"/>
      <c r="C1738" s="6"/>
      <c r="D1738" s="12"/>
      <c r="E1738" s="10" t="str">
        <f t="shared" si="136"/>
        <v/>
      </c>
      <c r="F1738" s="16"/>
      <c r="G1738" s="13"/>
      <c r="H1738" s="6"/>
      <c r="I1738" s="6"/>
      <c r="J1738" s="11" t="str">
        <f t="shared" si="137"/>
        <v/>
      </c>
      <c r="K1738" s="17" t="str">
        <f t="shared" si="138"/>
        <v/>
      </c>
      <c r="L1738" s="18" t="str">
        <f t="shared" si="139"/>
        <v/>
      </c>
      <c r="M1738" s="18" t="str">
        <f>IF(J1738&lt;&gt;-1,"",ROUND(F1738*IFERROR(INDEX(Stocuri!$G$5:$G$204,MATCH(D1738,Coduri,0)),0),2))</f>
        <v/>
      </c>
      <c r="N1738" s="19" t="str">
        <f t="shared" si="140"/>
        <v/>
      </c>
    </row>
    <row r="1739" spans="2:14" x14ac:dyDescent="0.2">
      <c r="B1739" s="15"/>
      <c r="C1739" s="6"/>
      <c r="D1739" s="12"/>
      <c r="E1739" s="10" t="str">
        <f t="shared" si="136"/>
        <v/>
      </c>
      <c r="F1739" s="16"/>
      <c r="G1739" s="13"/>
      <c r="H1739" s="6"/>
      <c r="I1739" s="6"/>
      <c r="J1739" s="11" t="str">
        <f t="shared" si="137"/>
        <v/>
      </c>
      <c r="K1739" s="17" t="str">
        <f t="shared" si="138"/>
        <v/>
      </c>
      <c r="L1739" s="18" t="str">
        <f t="shared" si="139"/>
        <v/>
      </c>
      <c r="M1739" s="18" t="str">
        <f>IF(J1739&lt;&gt;-1,"",ROUND(F1739*IFERROR(INDEX(Stocuri!$G$5:$G$204,MATCH(D1739,Coduri,0)),0),2))</f>
        <v/>
      </c>
      <c r="N1739" s="19" t="str">
        <f t="shared" si="140"/>
        <v/>
      </c>
    </row>
    <row r="1740" spans="2:14" x14ac:dyDescent="0.2">
      <c r="B1740" s="15"/>
      <c r="C1740" s="6"/>
      <c r="D1740" s="12"/>
      <c r="E1740" s="10" t="str">
        <f t="shared" si="136"/>
        <v/>
      </c>
      <c r="F1740" s="16"/>
      <c r="G1740" s="13"/>
      <c r="H1740" s="6"/>
      <c r="I1740" s="6"/>
      <c r="J1740" s="11" t="str">
        <f t="shared" si="137"/>
        <v/>
      </c>
      <c r="K1740" s="17" t="str">
        <f t="shared" si="138"/>
        <v/>
      </c>
      <c r="L1740" s="18" t="str">
        <f t="shared" si="139"/>
        <v/>
      </c>
      <c r="M1740" s="18" t="str">
        <f>IF(J1740&lt;&gt;-1,"",ROUND(F1740*IFERROR(INDEX(Stocuri!$G$5:$G$204,MATCH(D1740,Coduri,0)),0),2))</f>
        <v/>
      </c>
      <c r="N1740" s="19" t="str">
        <f t="shared" si="140"/>
        <v/>
      </c>
    </row>
    <row r="1741" spans="2:14" x14ac:dyDescent="0.2">
      <c r="B1741" s="15"/>
      <c r="C1741" s="6"/>
      <c r="D1741" s="12"/>
      <c r="E1741" s="10" t="str">
        <f t="shared" si="136"/>
        <v/>
      </c>
      <c r="F1741" s="16"/>
      <c r="G1741" s="13"/>
      <c r="H1741" s="6"/>
      <c r="I1741" s="6"/>
      <c r="J1741" s="11" t="str">
        <f t="shared" si="137"/>
        <v/>
      </c>
      <c r="K1741" s="17" t="str">
        <f t="shared" si="138"/>
        <v/>
      </c>
      <c r="L1741" s="18" t="str">
        <f t="shared" si="139"/>
        <v/>
      </c>
      <c r="M1741" s="18" t="str">
        <f>IF(J1741&lt;&gt;-1,"",ROUND(F1741*IFERROR(INDEX(Stocuri!$G$5:$G$204,MATCH(D1741,Coduri,0)),0),2))</f>
        <v/>
      </c>
      <c r="N1741" s="19" t="str">
        <f t="shared" si="140"/>
        <v/>
      </c>
    </row>
    <row r="1742" spans="2:14" x14ac:dyDescent="0.2">
      <c r="B1742" s="15"/>
      <c r="C1742" s="6"/>
      <c r="D1742" s="12"/>
      <c r="E1742" s="10" t="str">
        <f t="shared" si="136"/>
        <v/>
      </c>
      <c r="F1742" s="16"/>
      <c r="G1742" s="13"/>
      <c r="H1742" s="6"/>
      <c r="I1742" s="6"/>
      <c r="J1742" s="11" t="str">
        <f t="shared" si="137"/>
        <v/>
      </c>
      <c r="K1742" s="17" t="str">
        <f t="shared" si="138"/>
        <v/>
      </c>
      <c r="L1742" s="18" t="str">
        <f t="shared" si="139"/>
        <v/>
      </c>
      <c r="M1742" s="18" t="str">
        <f>IF(J1742&lt;&gt;-1,"",ROUND(F1742*IFERROR(INDEX(Stocuri!$G$5:$G$204,MATCH(D1742,Coduri,0)),0),2))</f>
        <v/>
      </c>
      <c r="N1742" s="19" t="str">
        <f t="shared" si="140"/>
        <v/>
      </c>
    </row>
    <row r="1743" spans="2:14" x14ac:dyDescent="0.2">
      <c r="B1743" s="15"/>
      <c r="C1743" s="6"/>
      <c r="D1743" s="12"/>
      <c r="E1743" s="10" t="str">
        <f t="shared" si="136"/>
        <v/>
      </c>
      <c r="F1743" s="16"/>
      <c r="G1743" s="13"/>
      <c r="H1743" s="6"/>
      <c r="I1743" s="6"/>
      <c r="J1743" s="11" t="str">
        <f t="shared" si="137"/>
        <v/>
      </c>
      <c r="K1743" s="17" t="str">
        <f t="shared" si="138"/>
        <v/>
      </c>
      <c r="L1743" s="18" t="str">
        <f t="shared" si="139"/>
        <v/>
      </c>
      <c r="M1743" s="18" t="str">
        <f>IF(J1743&lt;&gt;-1,"",ROUND(F1743*IFERROR(INDEX(Stocuri!$G$5:$G$204,MATCH(D1743,Coduri,0)),0),2))</f>
        <v/>
      </c>
      <c r="N1743" s="19" t="str">
        <f t="shared" si="140"/>
        <v/>
      </c>
    </row>
    <row r="1744" spans="2:14" x14ac:dyDescent="0.2">
      <c r="B1744" s="15"/>
      <c r="C1744" s="6"/>
      <c r="D1744" s="12"/>
      <c r="E1744" s="10" t="str">
        <f t="shared" si="136"/>
        <v/>
      </c>
      <c r="F1744" s="16"/>
      <c r="G1744" s="13"/>
      <c r="H1744" s="6"/>
      <c r="I1744" s="6"/>
      <c r="J1744" s="11" t="str">
        <f t="shared" si="137"/>
        <v/>
      </c>
      <c r="K1744" s="17" t="str">
        <f t="shared" si="138"/>
        <v/>
      </c>
      <c r="L1744" s="18" t="str">
        <f t="shared" si="139"/>
        <v/>
      </c>
      <c r="M1744" s="18" t="str">
        <f>IF(J1744&lt;&gt;-1,"",ROUND(F1744*IFERROR(INDEX(Stocuri!$G$5:$G$204,MATCH(D1744,Coduri,0)),0),2))</f>
        <v/>
      </c>
      <c r="N1744" s="19" t="str">
        <f t="shared" si="140"/>
        <v/>
      </c>
    </row>
    <row r="1745" spans="2:14" x14ac:dyDescent="0.2">
      <c r="B1745" s="15"/>
      <c r="C1745" s="6"/>
      <c r="D1745" s="12"/>
      <c r="E1745" s="10" t="str">
        <f t="shared" si="136"/>
        <v/>
      </c>
      <c r="F1745" s="16"/>
      <c r="G1745" s="13"/>
      <c r="H1745" s="6"/>
      <c r="I1745" s="6"/>
      <c r="J1745" s="11" t="str">
        <f t="shared" si="137"/>
        <v/>
      </c>
      <c r="K1745" s="17" t="str">
        <f t="shared" si="138"/>
        <v/>
      </c>
      <c r="L1745" s="18" t="str">
        <f t="shared" si="139"/>
        <v/>
      </c>
      <c r="M1745" s="18" t="str">
        <f>IF(J1745&lt;&gt;-1,"",ROUND(F1745*IFERROR(INDEX(Stocuri!$G$5:$G$204,MATCH(D1745,Coduri,0)),0),2))</f>
        <v/>
      </c>
      <c r="N1745" s="19" t="str">
        <f t="shared" si="140"/>
        <v/>
      </c>
    </row>
    <row r="1746" spans="2:14" x14ac:dyDescent="0.2">
      <c r="B1746" s="15"/>
      <c r="C1746" s="6"/>
      <c r="D1746" s="12"/>
      <c r="E1746" s="10" t="str">
        <f t="shared" si="136"/>
        <v/>
      </c>
      <c r="F1746" s="16"/>
      <c r="G1746" s="13"/>
      <c r="H1746" s="6"/>
      <c r="I1746" s="6"/>
      <c r="J1746" s="11" t="str">
        <f t="shared" si="137"/>
        <v/>
      </c>
      <c r="K1746" s="17" t="str">
        <f t="shared" si="138"/>
        <v/>
      </c>
      <c r="L1746" s="18" t="str">
        <f t="shared" si="139"/>
        <v/>
      </c>
      <c r="M1746" s="18" t="str">
        <f>IF(J1746&lt;&gt;-1,"",ROUND(F1746*IFERROR(INDEX(Stocuri!$G$5:$G$204,MATCH(D1746,Coduri,0)),0),2))</f>
        <v/>
      </c>
      <c r="N1746" s="19" t="str">
        <f t="shared" si="140"/>
        <v/>
      </c>
    </row>
    <row r="1747" spans="2:14" x14ac:dyDescent="0.2">
      <c r="B1747" s="15"/>
      <c r="C1747" s="6"/>
      <c r="D1747" s="12"/>
      <c r="E1747" s="10" t="str">
        <f t="shared" si="136"/>
        <v/>
      </c>
      <c r="F1747" s="16"/>
      <c r="G1747" s="13"/>
      <c r="H1747" s="6"/>
      <c r="I1747" s="6"/>
      <c r="J1747" s="11" t="str">
        <f t="shared" si="137"/>
        <v/>
      </c>
      <c r="K1747" s="17" t="str">
        <f t="shared" si="138"/>
        <v/>
      </c>
      <c r="L1747" s="18" t="str">
        <f t="shared" si="139"/>
        <v/>
      </c>
      <c r="M1747" s="18" t="str">
        <f>IF(J1747&lt;&gt;-1,"",ROUND(F1747*IFERROR(INDEX(Stocuri!$G$5:$G$204,MATCH(D1747,Coduri,0)),0),2))</f>
        <v/>
      </c>
      <c r="N1747" s="19" t="str">
        <f t="shared" si="140"/>
        <v/>
      </c>
    </row>
    <row r="1748" spans="2:14" x14ac:dyDescent="0.2">
      <c r="B1748" s="15"/>
      <c r="C1748" s="6"/>
      <c r="D1748" s="12"/>
      <c r="E1748" s="10" t="str">
        <f t="shared" si="136"/>
        <v/>
      </c>
      <c r="F1748" s="16"/>
      <c r="G1748" s="13"/>
      <c r="H1748" s="6"/>
      <c r="I1748" s="6"/>
      <c r="J1748" s="11" t="str">
        <f t="shared" si="137"/>
        <v/>
      </c>
      <c r="K1748" s="17" t="str">
        <f t="shared" si="138"/>
        <v/>
      </c>
      <c r="L1748" s="18" t="str">
        <f t="shared" si="139"/>
        <v/>
      </c>
      <c r="M1748" s="18" t="str">
        <f>IF(J1748&lt;&gt;-1,"",ROUND(F1748*IFERROR(INDEX(Stocuri!$G$5:$G$204,MATCH(D1748,Coduri,0)),0),2))</f>
        <v/>
      </c>
      <c r="N1748" s="19" t="str">
        <f t="shared" si="140"/>
        <v/>
      </c>
    </row>
    <row r="1749" spans="2:14" x14ac:dyDescent="0.2">
      <c r="B1749" s="15"/>
      <c r="C1749" s="6"/>
      <c r="D1749" s="12"/>
      <c r="E1749" s="10" t="str">
        <f t="shared" si="136"/>
        <v/>
      </c>
      <c r="F1749" s="16"/>
      <c r="G1749" s="13"/>
      <c r="H1749" s="6"/>
      <c r="I1749" s="6"/>
      <c r="J1749" s="11" t="str">
        <f t="shared" si="137"/>
        <v/>
      </c>
      <c r="K1749" s="17" t="str">
        <f t="shared" si="138"/>
        <v/>
      </c>
      <c r="L1749" s="18" t="str">
        <f t="shared" si="139"/>
        <v/>
      </c>
      <c r="M1749" s="18" t="str">
        <f>IF(J1749&lt;&gt;-1,"",ROUND(F1749*IFERROR(INDEX(Stocuri!$G$5:$G$204,MATCH(D1749,Coduri,0)),0),2))</f>
        <v/>
      </c>
      <c r="N1749" s="19" t="str">
        <f t="shared" si="140"/>
        <v/>
      </c>
    </row>
    <row r="1750" spans="2:14" x14ac:dyDescent="0.2">
      <c r="B1750" s="15"/>
      <c r="C1750" s="6"/>
      <c r="D1750" s="12"/>
      <c r="E1750" s="10" t="str">
        <f t="shared" si="136"/>
        <v/>
      </c>
      <c r="F1750" s="16"/>
      <c r="G1750" s="13"/>
      <c r="H1750" s="6"/>
      <c r="I1750" s="6"/>
      <c r="J1750" s="11" t="str">
        <f t="shared" si="137"/>
        <v/>
      </c>
      <c r="K1750" s="17" t="str">
        <f t="shared" si="138"/>
        <v/>
      </c>
      <c r="L1750" s="18" t="str">
        <f t="shared" si="139"/>
        <v/>
      </c>
      <c r="M1750" s="18" t="str">
        <f>IF(J1750&lt;&gt;-1,"",ROUND(F1750*IFERROR(INDEX(Stocuri!$G$5:$G$204,MATCH(D1750,Coduri,0)),0),2))</f>
        <v/>
      </c>
      <c r="N1750" s="19" t="str">
        <f t="shared" si="140"/>
        <v/>
      </c>
    </row>
    <row r="1751" spans="2:14" x14ac:dyDescent="0.2">
      <c r="B1751" s="15"/>
      <c r="C1751" s="6"/>
      <c r="D1751" s="12"/>
      <c r="E1751" s="10" t="str">
        <f t="shared" si="136"/>
        <v/>
      </c>
      <c r="F1751" s="16"/>
      <c r="G1751" s="13"/>
      <c r="H1751" s="6"/>
      <c r="I1751" s="6"/>
      <c r="J1751" s="11" t="str">
        <f t="shared" si="137"/>
        <v/>
      </c>
      <c r="K1751" s="17" t="str">
        <f t="shared" si="138"/>
        <v/>
      </c>
      <c r="L1751" s="18" t="str">
        <f t="shared" si="139"/>
        <v/>
      </c>
      <c r="M1751" s="18" t="str">
        <f>IF(J1751&lt;&gt;-1,"",ROUND(F1751*IFERROR(INDEX(Stocuri!$G$5:$G$204,MATCH(D1751,Coduri,0)),0),2))</f>
        <v/>
      </c>
      <c r="N1751" s="19" t="str">
        <f t="shared" si="140"/>
        <v/>
      </c>
    </row>
    <row r="1752" spans="2:14" x14ac:dyDescent="0.2">
      <c r="B1752" s="15"/>
      <c r="C1752" s="6"/>
      <c r="D1752" s="12"/>
      <c r="E1752" s="10" t="str">
        <f t="shared" si="136"/>
        <v/>
      </c>
      <c r="F1752" s="16"/>
      <c r="G1752" s="13"/>
      <c r="H1752" s="6"/>
      <c r="I1752" s="6"/>
      <c r="J1752" s="11" t="str">
        <f t="shared" si="137"/>
        <v/>
      </c>
      <c r="K1752" s="17" t="str">
        <f t="shared" si="138"/>
        <v/>
      </c>
      <c r="L1752" s="18" t="str">
        <f t="shared" si="139"/>
        <v/>
      </c>
      <c r="M1752" s="18" t="str">
        <f>IF(J1752&lt;&gt;-1,"",ROUND(F1752*IFERROR(INDEX(Stocuri!$G$5:$G$204,MATCH(D1752,Coduri,0)),0),2))</f>
        <v/>
      </c>
      <c r="N1752" s="19" t="str">
        <f t="shared" si="140"/>
        <v/>
      </c>
    </row>
    <row r="1753" spans="2:14" x14ac:dyDescent="0.2">
      <c r="B1753" s="15"/>
      <c r="C1753" s="6"/>
      <c r="D1753" s="12"/>
      <c r="E1753" s="10" t="str">
        <f t="shared" si="136"/>
        <v/>
      </c>
      <c r="F1753" s="16"/>
      <c r="G1753" s="13"/>
      <c r="H1753" s="6"/>
      <c r="I1753" s="6"/>
      <c r="J1753" s="11" t="str">
        <f t="shared" si="137"/>
        <v/>
      </c>
      <c r="K1753" s="17" t="str">
        <f t="shared" si="138"/>
        <v/>
      </c>
      <c r="L1753" s="18" t="str">
        <f t="shared" si="139"/>
        <v/>
      </c>
      <c r="M1753" s="18" t="str">
        <f>IF(J1753&lt;&gt;-1,"",ROUND(F1753*IFERROR(INDEX(Stocuri!$G$5:$G$204,MATCH(D1753,Coduri,0)),0),2))</f>
        <v/>
      </c>
      <c r="N1753" s="19" t="str">
        <f t="shared" si="140"/>
        <v/>
      </c>
    </row>
    <row r="1754" spans="2:14" x14ac:dyDescent="0.2">
      <c r="B1754" s="15"/>
      <c r="C1754" s="6"/>
      <c r="D1754" s="12"/>
      <c r="E1754" s="10" t="str">
        <f t="shared" si="136"/>
        <v/>
      </c>
      <c r="F1754" s="16"/>
      <c r="G1754" s="13"/>
      <c r="H1754" s="6"/>
      <c r="I1754" s="6"/>
      <c r="J1754" s="11" t="str">
        <f t="shared" si="137"/>
        <v/>
      </c>
      <c r="K1754" s="17" t="str">
        <f t="shared" si="138"/>
        <v/>
      </c>
      <c r="L1754" s="18" t="str">
        <f t="shared" si="139"/>
        <v/>
      </c>
      <c r="M1754" s="18" t="str">
        <f>IF(J1754&lt;&gt;-1,"",ROUND(F1754*IFERROR(INDEX(Stocuri!$G$5:$G$204,MATCH(D1754,Coduri,0)),0),2))</f>
        <v/>
      </c>
      <c r="N1754" s="19" t="str">
        <f t="shared" si="140"/>
        <v/>
      </c>
    </row>
    <row r="1755" spans="2:14" x14ac:dyDescent="0.2">
      <c r="B1755" s="15"/>
      <c r="C1755" s="6"/>
      <c r="D1755" s="12"/>
      <c r="E1755" s="10" t="str">
        <f t="shared" si="136"/>
        <v/>
      </c>
      <c r="F1755" s="16"/>
      <c r="G1755" s="13"/>
      <c r="H1755" s="6"/>
      <c r="I1755" s="6"/>
      <c r="J1755" s="11" t="str">
        <f t="shared" si="137"/>
        <v/>
      </c>
      <c r="K1755" s="17" t="str">
        <f t="shared" si="138"/>
        <v/>
      </c>
      <c r="L1755" s="18" t="str">
        <f t="shared" si="139"/>
        <v/>
      </c>
      <c r="M1755" s="18" t="str">
        <f>IF(J1755&lt;&gt;-1,"",ROUND(F1755*IFERROR(INDEX(Stocuri!$G$5:$G$204,MATCH(D1755,Coduri,0)),0),2))</f>
        <v/>
      </c>
      <c r="N1755" s="19" t="str">
        <f t="shared" si="140"/>
        <v/>
      </c>
    </row>
    <row r="1756" spans="2:14" x14ac:dyDescent="0.2">
      <c r="B1756" s="15"/>
      <c r="C1756" s="6"/>
      <c r="D1756" s="12"/>
      <c r="E1756" s="10" t="str">
        <f t="shared" si="136"/>
        <v/>
      </c>
      <c r="F1756" s="16"/>
      <c r="G1756" s="13"/>
      <c r="H1756" s="6"/>
      <c r="I1756" s="6"/>
      <c r="J1756" s="11" t="str">
        <f t="shared" si="137"/>
        <v/>
      </c>
      <c r="K1756" s="17" t="str">
        <f t="shared" si="138"/>
        <v/>
      </c>
      <c r="L1756" s="18" t="str">
        <f t="shared" si="139"/>
        <v/>
      </c>
      <c r="M1756" s="18" t="str">
        <f>IF(J1756&lt;&gt;-1,"",ROUND(F1756*IFERROR(INDEX(Stocuri!$G$5:$G$204,MATCH(D1756,Coduri,0)),0),2))</f>
        <v/>
      </c>
      <c r="N1756" s="19" t="str">
        <f t="shared" si="140"/>
        <v/>
      </c>
    </row>
    <row r="1757" spans="2:14" x14ac:dyDescent="0.2">
      <c r="B1757" s="15"/>
      <c r="C1757" s="6"/>
      <c r="D1757" s="12"/>
      <c r="E1757" s="10" t="str">
        <f t="shared" si="136"/>
        <v/>
      </c>
      <c r="F1757" s="16"/>
      <c r="G1757" s="13"/>
      <c r="H1757" s="6"/>
      <c r="I1757" s="6"/>
      <c r="J1757" s="11" t="str">
        <f t="shared" si="137"/>
        <v/>
      </c>
      <c r="K1757" s="17" t="str">
        <f t="shared" si="138"/>
        <v/>
      </c>
      <c r="L1757" s="18" t="str">
        <f t="shared" si="139"/>
        <v/>
      </c>
      <c r="M1757" s="18" t="str">
        <f>IF(J1757&lt;&gt;-1,"",ROUND(F1757*IFERROR(INDEX(Stocuri!$G$5:$G$204,MATCH(D1757,Coduri,0)),0),2))</f>
        <v/>
      </c>
      <c r="N1757" s="19" t="str">
        <f t="shared" si="140"/>
        <v/>
      </c>
    </row>
    <row r="1758" spans="2:14" x14ac:dyDescent="0.2">
      <c r="B1758" s="15"/>
      <c r="C1758" s="6"/>
      <c r="D1758" s="12"/>
      <c r="E1758" s="10" t="str">
        <f t="shared" si="136"/>
        <v/>
      </c>
      <c r="F1758" s="16"/>
      <c r="G1758" s="13"/>
      <c r="H1758" s="6"/>
      <c r="I1758" s="6"/>
      <c r="J1758" s="11" t="str">
        <f t="shared" si="137"/>
        <v/>
      </c>
      <c r="K1758" s="17" t="str">
        <f t="shared" si="138"/>
        <v/>
      </c>
      <c r="L1758" s="18" t="str">
        <f t="shared" si="139"/>
        <v/>
      </c>
      <c r="M1758" s="18" t="str">
        <f>IF(J1758&lt;&gt;-1,"",ROUND(F1758*IFERROR(INDEX(Stocuri!$G$5:$G$204,MATCH(D1758,Coduri,0)),0),2))</f>
        <v/>
      </c>
      <c r="N1758" s="19" t="str">
        <f t="shared" si="140"/>
        <v/>
      </c>
    </row>
    <row r="1759" spans="2:14" x14ac:dyDescent="0.2">
      <c r="B1759" s="15"/>
      <c r="C1759" s="6"/>
      <c r="D1759" s="12"/>
      <c r="E1759" s="10" t="str">
        <f t="shared" si="136"/>
        <v/>
      </c>
      <c r="F1759" s="16"/>
      <c r="G1759" s="13"/>
      <c r="H1759" s="6"/>
      <c r="I1759" s="6"/>
      <c r="J1759" s="11" t="str">
        <f t="shared" si="137"/>
        <v/>
      </c>
      <c r="K1759" s="17" t="str">
        <f t="shared" si="138"/>
        <v/>
      </c>
      <c r="L1759" s="18" t="str">
        <f t="shared" si="139"/>
        <v/>
      </c>
      <c r="M1759" s="18" t="str">
        <f>IF(J1759&lt;&gt;-1,"",ROUND(F1759*IFERROR(INDEX(Stocuri!$G$5:$G$204,MATCH(D1759,Coduri,0)),0),2))</f>
        <v/>
      </c>
      <c r="N1759" s="19" t="str">
        <f t="shared" si="140"/>
        <v/>
      </c>
    </row>
    <row r="1760" spans="2:14" x14ac:dyDescent="0.2">
      <c r="B1760" s="15"/>
      <c r="C1760" s="6"/>
      <c r="D1760" s="12"/>
      <c r="E1760" s="10" t="str">
        <f t="shared" si="136"/>
        <v/>
      </c>
      <c r="F1760" s="16"/>
      <c r="G1760" s="13"/>
      <c r="H1760" s="6"/>
      <c r="I1760" s="6"/>
      <c r="J1760" s="11" t="str">
        <f t="shared" si="137"/>
        <v/>
      </c>
      <c r="K1760" s="17" t="str">
        <f t="shared" si="138"/>
        <v/>
      </c>
      <c r="L1760" s="18" t="str">
        <f t="shared" si="139"/>
        <v/>
      </c>
      <c r="M1760" s="18" t="str">
        <f>IF(J1760&lt;&gt;-1,"",ROUND(F1760*IFERROR(INDEX(Stocuri!$G$5:$G$204,MATCH(D1760,Coduri,0)),0),2))</f>
        <v/>
      </c>
      <c r="N1760" s="19" t="str">
        <f t="shared" si="140"/>
        <v/>
      </c>
    </row>
    <row r="1761" spans="2:14" x14ac:dyDescent="0.2">
      <c r="B1761" s="15"/>
      <c r="C1761" s="6"/>
      <c r="D1761" s="12"/>
      <c r="E1761" s="10" t="str">
        <f t="shared" si="136"/>
        <v/>
      </c>
      <c r="F1761" s="16"/>
      <c r="G1761" s="13"/>
      <c r="H1761" s="6"/>
      <c r="I1761" s="6"/>
      <c r="J1761" s="11" t="str">
        <f t="shared" si="137"/>
        <v/>
      </c>
      <c r="K1761" s="17" t="str">
        <f t="shared" si="138"/>
        <v/>
      </c>
      <c r="L1761" s="18" t="str">
        <f t="shared" si="139"/>
        <v/>
      </c>
      <c r="M1761" s="18" t="str">
        <f>IF(J1761&lt;&gt;-1,"",ROUND(F1761*IFERROR(INDEX(Stocuri!$G$5:$G$204,MATCH(D1761,Coduri,0)),0),2))</f>
        <v/>
      </c>
      <c r="N1761" s="19" t="str">
        <f t="shared" si="140"/>
        <v/>
      </c>
    </row>
    <row r="1762" spans="2:14" x14ac:dyDescent="0.2">
      <c r="B1762" s="15"/>
      <c r="C1762" s="6"/>
      <c r="D1762" s="12"/>
      <c r="E1762" s="10" t="str">
        <f t="shared" si="136"/>
        <v/>
      </c>
      <c r="F1762" s="16"/>
      <c r="G1762" s="13"/>
      <c r="H1762" s="6"/>
      <c r="I1762" s="6"/>
      <c r="J1762" s="11" t="str">
        <f t="shared" si="137"/>
        <v/>
      </c>
      <c r="K1762" s="17" t="str">
        <f t="shared" si="138"/>
        <v/>
      </c>
      <c r="L1762" s="18" t="str">
        <f t="shared" si="139"/>
        <v/>
      </c>
      <c r="M1762" s="18" t="str">
        <f>IF(J1762&lt;&gt;-1,"",ROUND(F1762*IFERROR(INDEX(Stocuri!$G$5:$G$204,MATCH(D1762,Coduri,0)),0),2))</f>
        <v/>
      </c>
      <c r="N1762" s="19" t="str">
        <f t="shared" si="140"/>
        <v/>
      </c>
    </row>
    <row r="1763" spans="2:14" x14ac:dyDescent="0.2">
      <c r="B1763" s="15"/>
      <c r="C1763" s="6"/>
      <c r="D1763" s="12"/>
      <c r="E1763" s="10" t="str">
        <f t="shared" si="136"/>
        <v/>
      </c>
      <c r="F1763" s="16"/>
      <c r="G1763" s="13"/>
      <c r="H1763" s="6"/>
      <c r="I1763" s="6"/>
      <c r="J1763" s="11" t="str">
        <f t="shared" si="137"/>
        <v/>
      </c>
      <c r="K1763" s="17" t="str">
        <f t="shared" si="138"/>
        <v/>
      </c>
      <c r="L1763" s="18" t="str">
        <f t="shared" si="139"/>
        <v/>
      </c>
      <c r="M1763" s="18" t="str">
        <f>IF(J1763&lt;&gt;-1,"",ROUND(F1763*IFERROR(INDEX(Stocuri!$G$5:$G$204,MATCH(D1763,Coduri,0)),0),2))</f>
        <v/>
      </c>
      <c r="N1763" s="19" t="str">
        <f t="shared" si="140"/>
        <v/>
      </c>
    </row>
    <row r="1764" spans="2:14" x14ac:dyDescent="0.2">
      <c r="B1764" s="15"/>
      <c r="C1764" s="6"/>
      <c r="D1764" s="12"/>
      <c r="E1764" s="10" t="str">
        <f t="shared" si="136"/>
        <v/>
      </c>
      <c r="F1764" s="16"/>
      <c r="G1764" s="13"/>
      <c r="H1764" s="6"/>
      <c r="I1764" s="6"/>
      <c r="J1764" s="11" t="str">
        <f t="shared" si="137"/>
        <v/>
      </c>
      <c r="K1764" s="17" t="str">
        <f t="shared" si="138"/>
        <v/>
      </c>
      <c r="L1764" s="18" t="str">
        <f t="shared" si="139"/>
        <v/>
      </c>
      <c r="M1764" s="18" t="str">
        <f>IF(J1764&lt;&gt;-1,"",ROUND(F1764*IFERROR(INDEX(Stocuri!$G$5:$G$204,MATCH(D1764,Coduri,0)),0),2))</f>
        <v/>
      </c>
      <c r="N1764" s="19" t="str">
        <f t="shared" si="140"/>
        <v/>
      </c>
    </row>
    <row r="1765" spans="2:14" x14ac:dyDescent="0.2">
      <c r="B1765" s="15"/>
      <c r="C1765" s="6"/>
      <c r="D1765" s="12"/>
      <c r="E1765" s="10" t="str">
        <f t="shared" si="136"/>
        <v/>
      </c>
      <c r="F1765" s="16"/>
      <c r="G1765" s="13"/>
      <c r="H1765" s="6"/>
      <c r="I1765" s="6"/>
      <c r="J1765" s="11" t="str">
        <f t="shared" si="137"/>
        <v/>
      </c>
      <c r="K1765" s="17" t="str">
        <f t="shared" si="138"/>
        <v/>
      </c>
      <c r="L1765" s="18" t="str">
        <f t="shared" si="139"/>
        <v/>
      </c>
      <c r="M1765" s="18" t="str">
        <f>IF(J1765&lt;&gt;-1,"",ROUND(F1765*IFERROR(INDEX(Stocuri!$G$5:$G$204,MATCH(D1765,Coduri,0)),0),2))</f>
        <v/>
      </c>
      <c r="N1765" s="19" t="str">
        <f t="shared" si="140"/>
        <v/>
      </c>
    </row>
    <row r="1766" spans="2:14" x14ac:dyDescent="0.2">
      <c r="B1766" s="15"/>
      <c r="C1766" s="6"/>
      <c r="D1766" s="12"/>
      <c r="E1766" s="10" t="str">
        <f t="shared" si="136"/>
        <v/>
      </c>
      <c r="F1766" s="16"/>
      <c r="G1766" s="13"/>
      <c r="H1766" s="6"/>
      <c r="I1766" s="6"/>
      <c r="J1766" s="11" t="str">
        <f t="shared" si="137"/>
        <v/>
      </c>
      <c r="K1766" s="17" t="str">
        <f t="shared" si="138"/>
        <v/>
      </c>
      <c r="L1766" s="18" t="str">
        <f t="shared" si="139"/>
        <v/>
      </c>
      <c r="M1766" s="18" t="str">
        <f>IF(J1766&lt;&gt;-1,"",ROUND(F1766*IFERROR(INDEX(Stocuri!$G$5:$G$204,MATCH(D1766,Coduri,0)),0),2))</f>
        <v/>
      </c>
      <c r="N1766" s="19" t="str">
        <f t="shared" si="140"/>
        <v/>
      </c>
    </row>
    <row r="1767" spans="2:14" x14ac:dyDescent="0.2">
      <c r="B1767" s="15"/>
      <c r="C1767" s="6"/>
      <c r="D1767" s="12"/>
      <c r="E1767" s="10" t="str">
        <f t="shared" si="136"/>
        <v/>
      </c>
      <c r="F1767" s="16"/>
      <c r="G1767" s="13"/>
      <c r="H1767" s="6"/>
      <c r="I1767" s="6"/>
      <c r="J1767" s="11" t="str">
        <f t="shared" si="137"/>
        <v/>
      </c>
      <c r="K1767" s="17" t="str">
        <f t="shared" si="138"/>
        <v/>
      </c>
      <c r="L1767" s="18" t="str">
        <f t="shared" si="139"/>
        <v/>
      </c>
      <c r="M1767" s="18" t="str">
        <f>IF(J1767&lt;&gt;-1,"",ROUND(F1767*IFERROR(INDEX(Stocuri!$G$5:$G$204,MATCH(D1767,Coduri,0)),0),2))</f>
        <v/>
      </c>
      <c r="N1767" s="19" t="str">
        <f t="shared" si="140"/>
        <v/>
      </c>
    </row>
    <row r="1768" spans="2:14" x14ac:dyDescent="0.2">
      <c r="B1768" s="15"/>
      <c r="C1768" s="6"/>
      <c r="D1768" s="12"/>
      <c r="E1768" s="10" t="str">
        <f t="shared" si="136"/>
        <v/>
      </c>
      <c r="F1768" s="16"/>
      <c r="G1768" s="13"/>
      <c r="H1768" s="6"/>
      <c r="I1768" s="6"/>
      <c r="J1768" s="11" t="str">
        <f t="shared" si="137"/>
        <v/>
      </c>
      <c r="K1768" s="17" t="str">
        <f t="shared" si="138"/>
        <v/>
      </c>
      <c r="L1768" s="18" t="str">
        <f t="shared" si="139"/>
        <v/>
      </c>
      <c r="M1768" s="18" t="str">
        <f>IF(J1768&lt;&gt;-1,"",ROUND(F1768*IFERROR(INDEX(Stocuri!$G$5:$G$204,MATCH(D1768,Coduri,0)),0),2))</f>
        <v/>
      </c>
      <c r="N1768" s="19" t="str">
        <f t="shared" si="140"/>
        <v/>
      </c>
    </row>
    <row r="1769" spans="2:14" x14ac:dyDescent="0.2">
      <c r="B1769" s="15"/>
      <c r="C1769" s="6"/>
      <c r="D1769" s="12"/>
      <c r="E1769" s="10" t="str">
        <f t="shared" si="136"/>
        <v/>
      </c>
      <c r="F1769" s="16"/>
      <c r="G1769" s="13"/>
      <c r="H1769" s="6"/>
      <c r="I1769" s="6"/>
      <c r="J1769" s="11" t="str">
        <f t="shared" si="137"/>
        <v/>
      </c>
      <c r="K1769" s="17" t="str">
        <f t="shared" si="138"/>
        <v/>
      </c>
      <c r="L1769" s="18" t="str">
        <f t="shared" si="139"/>
        <v/>
      </c>
      <c r="M1769" s="18" t="str">
        <f>IF(J1769&lt;&gt;-1,"",ROUND(F1769*IFERROR(INDEX(Stocuri!$G$5:$G$204,MATCH(D1769,Coduri,0)),0),2))</f>
        <v/>
      </c>
      <c r="N1769" s="19" t="str">
        <f t="shared" si="140"/>
        <v/>
      </c>
    </row>
    <row r="1770" spans="2:14" x14ac:dyDescent="0.2">
      <c r="B1770" s="15"/>
      <c r="C1770" s="6"/>
      <c r="D1770" s="12"/>
      <c r="E1770" s="10" t="str">
        <f t="shared" si="136"/>
        <v/>
      </c>
      <c r="F1770" s="16"/>
      <c r="G1770" s="13"/>
      <c r="H1770" s="6"/>
      <c r="I1770" s="6"/>
      <c r="J1770" s="11" t="str">
        <f t="shared" si="137"/>
        <v/>
      </c>
      <c r="K1770" s="17" t="str">
        <f t="shared" si="138"/>
        <v/>
      </c>
      <c r="L1770" s="18" t="str">
        <f t="shared" si="139"/>
        <v/>
      </c>
      <c r="M1770" s="18" t="str">
        <f>IF(J1770&lt;&gt;-1,"",ROUND(F1770*IFERROR(INDEX(Stocuri!$G$5:$G$204,MATCH(D1770,Coduri,0)),0),2))</f>
        <v/>
      </c>
      <c r="N1770" s="19" t="str">
        <f t="shared" si="140"/>
        <v/>
      </c>
    </row>
    <row r="1771" spans="2:14" x14ac:dyDescent="0.2">
      <c r="B1771" s="15"/>
      <c r="C1771" s="6"/>
      <c r="D1771" s="12"/>
      <c r="E1771" s="10" t="str">
        <f t="shared" si="136"/>
        <v/>
      </c>
      <c r="F1771" s="16"/>
      <c r="G1771" s="13"/>
      <c r="H1771" s="6"/>
      <c r="I1771" s="6"/>
      <c r="J1771" s="11" t="str">
        <f t="shared" si="137"/>
        <v/>
      </c>
      <c r="K1771" s="17" t="str">
        <f t="shared" si="138"/>
        <v/>
      </c>
      <c r="L1771" s="18" t="str">
        <f t="shared" si="139"/>
        <v/>
      </c>
      <c r="M1771" s="18" t="str">
        <f>IF(J1771&lt;&gt;-1,"",ROUND(F1771*IFERROR(INDEX(Stocuri!$G$5:$G$204,MATCH(D1771,Coduri,0)),0),2))</f>
        <v/>
      </c>
      <c r="N1771" s="19" t="str">
        <f t="shared" si="140"/>
        <v/>
      </c>
    </row>
    <row r="1772" spans="2:14" x14ac:dyDescent="0.2">
      <c r="B1772" s="15"/>
      <c r="C1772" s="6"/>
      <c r="D1772" s="12"/>
      <c r="E1772" s="10" t="str">
        <f t="shared" si="136"/>
        <v/>
      </c>
      <c r="F1772" s="16"/>
      <c r="G1772" s="13"/>
      <c r="H1772" s="6"/>
      <c r="I1772" s="6"/>
      <c r="J1772" s="11" t="str">
        <f t="shared" si="137"/>
        <v/>
      </c>
      <c r="K1772" s="17" t="str">
        <f t="shared" si="138"/>
        <v/>
      </c>
      <c r="L1772" s="18" t="str">
        <f t="shared" si="139"/>
        <v/>
      </c>
      <c r="M1772" s="18" t="str">
        <f>IF(J1772&lt;&gt;-1,"",ROUND(F1772*IFERROR(INDEX(Stocuri!$G$5:$G$204,MATCH(D1772,Coduri,0)),0),2))</f>
        <v/>
      </c>
      <c r="N1772" s="19" t="str">
        <f t="shared" si="140"/>
        <v/>
      </c>
    </row>
    <row r="1773" spans="2:14" x14ac:dyDescent="0.2">
      <c r="B1773" s="15"/>
      <c r="C1773" s="6"/>
      <c r="D1773" s="12"/>
      <c r="E1773" s="10" t="str">
        <f t="shared" si="136"/>
        <v/>
      </c>
      <c r="F1773" s="16"/>
      <c r="G1773" s="13"/>
      <c r="H1773" s="6"/>
      <c r="I1773" s="6"/>
      <c r="J1773" s="11" t="str">
        <f t="shared" si="137"/>
        <v/>
      </c>
      <c r="K1773" s="17" t="str">
        <f t="shared" si="138"/>
        <v/>
      </c>
      <c r="L1773" s="18" t="str">
        <f t="shared" si="139"/>
        <v/>
      </c>
      <c r="M1773" s="18" t="str">
        <f>IF(J1773&lt;&gt;-1,"",ROUND(F1773*IFERROR(INDEX(Stocuri!$G$5:$G$204,MATCH(D1773,Coduri,0)),0),2))</f>
        <v/>
      </c>
      <c r="N1773" s="19" t="str">
        <f t="shared" si="140"/>
        <v/>
      </c>
    </row>
    <row r="1774" spans="2:14" x14ac:dyDescent="0.2">
      <c r="B1774" s="15"/>
      <c r="C1774" s="6"/>
      <c r="D1774" s="12"/>
      <c r="E1774" s="10" t="str">
        <f t="shared" si="136"/>
        <v/>
      </c>
      <c r="F1774" s="16"/>
      <c r="G1774" s="13"/>
      <c r="H1774" s="6"/>
      <c r="I1774" s="6"/>
      <c r="J1774" s="11" t="str">
        <f t="shared" si="137"/>
        <v/>
      </c>
      <c r="K1774" s="17" t="str">
        <f t="shared" si="138"/>
        <v/>
      </c>
      <c r="L1774" s="18" t="str">
        <f t="shared" si="139"/>
        <v/>
      </c>
      <c r="M1774" s="18" t="str">
        <f>IF(J1774&lt;&gt;-1,"",ROUND(F1774*IFERROR(INDEX(Stocuri!$G$5:$G$204,MATCH(D1774,Coduri,0)),0),2))</f>
        <v/>
      </c>
      <c r="N1774" s="19" t="str">
        <f t="shared" si="140"/>
        <v/>
      </c>
    </row>
    <row r="1775" spans="2:14" x14ac:dyDescent="0.2">
      <c r="B1775" s="15"/>
      <c r="C1775" s="6"/>
      <c r="D1775" s="12"/>
      <c r="E1775" s="10" t="str">
        <f t="shared" si="136"/>
        <v/>
      </c>
      <c r="F1775" s="16"/>
      <c r="G1775" s="13"/>
      <c r="H1775" s="6"/>
      <c r="I1775" s="6"/>
      <c r="J1775" s="11" t="str">
        <f t="shared" si="137"/>
        <v/>
      </c>
      <c r="K1775" s="17" t="str">
        <f t="shared" si="138"/>
        <v/>
      </c>
      <c r="L1775" s="18" t="str">
        <f t="shared" si="139"/>
        <v/>
      </c>
      <c r="M1775" s="18" t="str">
        <f>IF(J1775&lt;&gt;-1,"",ROUND(F1775*IFERROR(INDEX(Stocuri!$G$5:$G$204,MATCH(D1775,Coduri,0)),0),2))</f>
        <v/>
      </c>
      <c r="N1775" s="19" t="str">
        <f t="shared" si="140"/>
        <v/>
      </c>
    </row>
    <row r="1776" spans="2:14" x14ac:dyDescent="0.2">
      <c r="B1776" s="15"/>
      <c r="C1776" s="6"/>
      <c r="D1776" s="12"/>
      <c r="E1776" s="10" t="str">
        <f t="shared" si="136"/>
        <v/>
      </c>
      <c r="F1776" s="16"/>
      <c r="G1776" s="13"/>
      <c r="H1776" s="6"/>
      <c r="I1776" s="6"/>
      <c r="J1776" s="11" t="str">
        <f t="shared" si="137"/>
        <v/>
      </c>
      <c r="K1776" s="17" t="str">
        <f t="shared" si="138"/>
        <v/>
      </c>
      <c r="L1776" s="18" t="str">
        <f t="shared" si="139"/>
        <v/>
      </c>
      <c r="M1776" s="18" t="str">
        <f>IF(J1776&lt;&gt;-1,"",ROUND(F1776*IFERROR(INDEX(Stocuri!$G$5:$G$204,MATCH(D1776,Coduri,0)),0),2))</f>
        <v/>
      </c>
      <c r="N1776" s="19" t="str">
        <f t="shared" si="140"/>
        <v/>
      </c>
    </row>
    <row r="1777" spans="2:14" x14ac:dyDescent="0.2">
      <c r="B1777" s="15"/>
      <c r="C1777" s="6"/>
      <c r="D1777" s="12"/>
      <c r="E1777" s="10" t="str">
        <f t="shared" si="136"/>
        <v/>
      </c>
      <c r="F1777" s="16"/>
      <c r="G1777" s="13"/>
      <c r="H1777" s="6"/>
      <c r="I1777" s="6"/>
      <c r="J1777" s="11" t="str">
        <f t="shared" si="137"/>
        <v/>
      </c>
      <c r="K1777" s="17" t="str">
        <f t="shared" si="138"/>
        <v/>
      </c>
      <c r="L1777" s="18" t="str">
        <f t="shared" si="139"/>
        <v/>
      </c>
      <c r="M1777" s="18" t="str">
        <f>IF(J1777&lt;&gt;-1,"",ROUND(F1777*IFERROR(INDEX(Stocuri!$G$5:$G$204,MATCH(D1777,Coduri,0)),0),2))</f>
        <v/>
      </c>
      <c r="N1777" s="19" t="str">
        <f t="shared" si="140"/>
        <v/>
      </c>
    </row>
    <row r="1778" spans="2:14" x14ac:dyDescent="0.2">
      <c r="B1778" s="15"/>
      <c r="C1778" s="6"/>
      <c r="D1778" s="12"/>
      <c r="E1778" s="10" t="str">
        <f t="shared" si="136"/>
        <v/>
      </c>
      <c r="F1778" s="16"/>
      <c r="G1778" s="13"/>
      <c r="H1778" s="6"/>
      <c r="I1778" s="6"/>
      <c r="J1778" s="11" t="str">
        <f t="shared" si="137"/>
        <v/>
      </c>
      <c r="K1778" s="17" t="str">
        <f t="shared" si="138"/>
        <v/>
      </c>
      <c r="L1778" s="18" t="str">
        <f t="shared" si="139"/>
        <v/>
      </c>
      <c r="M1778" s="18" t="str">
        <f>IF(J1778&lt;&gt;-1,"",ROUND(F1778*IFERROR(INDEX(Stocuri!$G$5:$G$204,MATCH(D1778,Coduri,0)),0),2))</f>
        <v/>
      </c>
      <c r="N1778" s="19" t="str">
        <f t="shared" si="140"/>
        <v/>
      </c>
    </row>
    <row r="1779" spans="2:14" x14ac:dyDescent="0.2">
      <c r="B1779" s="15"/>
      <c r="C1779" s="6"/>
      <c r="D1779" s="12"/>
      <c r="E1779" s="10" t="str">
        <f t="shared" si="136"/>
        <v/>
      </c>
      <c r="F1779" s="16"/>
      <c r="G1779" s="13"/>
      <c r="H1779" s="6"/>
      <c r="I1779" s="6"/>
      <c r="J1779" s="11" t="str">
        <f t="shared" si="137"/>
        <v/>
      </c>
      <c r="K1779" s="17" t="str">
        <f t="shared" si="138"/>
        <v/>
      </c>
      <c r="L1779" s="18" t="str">
        <f t="shared" si="139"/>
        <v/>
      </c>
      <c r="M1779" s="18" t="str">
        <f>IF(J1779&lt;&gt;-1,"",ROUND(F1779*IFERROR(INDEX(Stocuri!$G$5:$G$204,MATCH(D1779,Coduri,0)),0),2))</f>
        <v/>
      </c>
      <c r="N1779" s="19" t="str">
        <f t="shared" si="140"/>
        <v/>
      </c>
    </row>
    <row r="1780" spans="2:14" x14ac:dyDescent="0.2">
      <c r="B1780" s="15"/>
      <c r="C1780" s="6"/>
      <c r="D1780" s="12"/>
      <c r="E1780" s="10" t="str">
        <f t="shared" si="136"/>
        <v/>
      </c>
      <c r="F1780" s="16"/>
      <c r="G1780" s="13"/>
      <c r="H1780" s="6"/>
      <c r="I1780" s="6"/>
      <c r="J1780" s="11" t="str">
        <f t="shared" si="137"/>
        <v/>
      </c>
      <c r="K1780" s="17" t="str">
        <f t="shared" si="138"/>
        <v/>
      </c>
      <c r="L1780" s="18" t="str">
        <f t="shared" si="139"/>
        <v/>
      </c>
      <c r="M1780" s="18" t="str">
        <f>IF(J1780&lt;&gt;-1,"",ROUND(F1780*IFERROR(INDEX(Stocuri!$G$5:$G$204,MATCH(D1780,Coduri,0)),0),2))</f>
        <v/>
      </c>
      <c r="N1780" s="19" t="str">
        <f t="shared" si="140"/>
        <v/>
      </c>
    </row>
    <row r="1781" spans="2:14" x14ac:dyDescent="0.2">
      <c r="B1781" s="15"/>
      <c r="C1781" s="6"/>
      <c r="D1781" s="12"/>
      <c r="E1781" s="10" t="str">
        <f t="shared" si="136"/>
        <v/>
      </c>
      <c r="F1781" s="16"/>
      <c r="G1781" s="13"/>
      <c r="H1781" s="6"/>
      <c r="I1781" s="6"/>
      <c r="J1781" s="11" t="str">
        <f t="shared" si="137"/>
        <v/>
      </c>
      <c r="K1781" s="17" t="str">
        <f t="shared" si="138"/>
        <v/>
      </c>
      <c r="L1781" s="18" t="str">
        <f t="shared" si="139"/>
        <v/>
      </c>
      <c r="M1781" s="18" t="str">
        <f>IF(J1781&lt;&gt;-1,"",ROUND(F1781*IFERROR(INDEX(Stocuri!$G$5:$G$204,MATCH(D1781,Coduri,0)),0),2))</f>
        <v/>
      </c>
      <c r="N1781" s="19" t="str">
        <f t="shared" si="140"/>
        <v/>
      </c>
    </row>
    <row r="1782" spans="2:14" x14ac:dyDescent="0.2">
      <c r="B1782" s="15"/>
      <c r="C1782" s="6"/>
      <c r="D1782" s="12"/>
      <c r="E1782" s="10" t="str">
        <f t="shared" si="136"/>
        <v/>
      </c>
      <c r="F1782" s="16"/>
      <c r="G1782" s="13"/>
      <c r="H1782" s="6"/>
      <c r="I1782" s="6"/>
      <c r="J1782" s="11" t="str">
        <f t="shared" si="137"/>
        <v/>
      </c>
      <c r="K1782" s="17" t="str">
        <f t="shared" si="138"/>
        <v/>
      </c>
      <c r="L1782" s="18" t="str">
        <f t="shared" si="139"/>
        <v/>
      </c>
      <c r="M1782" s="18" t="str">
        <f>IF(J1782&lt;&gt;-1,"",ROUND(F1782*IFERROR(INDEX(Stocuri!$G$5:$G$204,MATCH(D1782,Coduri,0)),0),2))</f>
        <v/>
      </c>
      <c r="N1782" s="19" t="str">
        <f t="shared" si="140"/>
        <v/>
      </c>
    </row>
    <row r="1783" spans="2:14" x14ac:dyDescent="0.2">
      <c r="B1783" s="15"/>
      <c r="C1783" s="6"/>
      <c r="D1783" s="12"/>
      <c r="E1783" s="10" t="str">
        <f t="shared" si="136"/>
        <v/>
      </c>
      <c r="F1783" s="16"/>
      <c r="G1783" s="13"/>
      <c r="H1783" s="6"/>
      <c r="I1783" s="6"/>
      <c r="J1783" s="11" t="str">
        <f t="shared" si="137"/>
        <v/>
      </c>
      <c r="K1783" s="17" t="str">
        <f t="shared" si="138"/>
        <v/>
      </c>
      <c r="L1783" s="18" t="str">
        <f t="shared" si="139"/>
        <v/>
      </c>
      <c r="M1783" s="18" t="str">
        <f>IF(J1783&lt;&gt;-1,"",ROUND(F1783*IFERROR(INDEX(Stocuri!$G$5:$G$204,MATCH(D1783,Coduri,0)),0),2))</f>
        <v/>
      </c>
      <c r="N1783" s="19" t="str">
        <f t="shared" si="140"/>
        <v/>
      </c>
    </row>
    <row r="1784" spans="2:14" x14ac:dyDescent="0.2">
      <c r="B1784" s="15"/>
      <c r="C1784" s="6"/>
      <c r="D1784" s="12"/>
      <c r="E1784" s="10" t="str">
        <f t="shared" si="136"/>
        <v/>
      </c>
      <c r="F1784" s="16"/>
      <c r="G1784" s="13"/>
      <c r="H1784" s="6"/>
      <c r="I1784" s="6"/>
      <c r="J1784" s="11" t="str">
        <f t="shared" si="137"/>
        <v/>
      </c>
      <c r="K1784" s="17" t="str">
        <f t="shared" si="138"/>
        <v/>
      </c>
      <c r="L1784" s="18" t="str">
        <f t="shared" si="139"/>
        <v/>
      </c>
      <c r="M1784" s="18" t="str">
        <f>IF(J1784&lt;&gt;-1,"",ROUND(F1784*IFERROR(INDEX(Stocuri!$G$5:$G$204,MATCH(D1784,Coduri,0)),0),2))</f>
        <v/>
      </c>
      <c r="N1784" s="19" t="str">
        <f t="shared" si="140"/>
        <v/>
      </c>
    </row>
    <row r="1785" spans="2:14" x14ac:dyDescent="0.2">
      <c r="B1785" s="15"/>
      <c r="C1785" s="6"/>
      <c r="D1785" s="12"/>
      <c r="E1785" s="10" t="str">
        <f t="shared" si="136"/>
        <v/>
      </c>
      <c r="F1785" s="16"/>
      <c r="G1785" s="13"/>
      <c r="H1785" s="6"/>
      <c r="I1785" s="6"/>
      <c r="J1785" s="11" t="str">
        <f t="shared" si="137"/>
        <v/>
      </c>
      <c r="K1785" s="17" t="str">
        <f t="shared" si="138"/>
        <v/>
      </c>
      <c r="L1785" s="18" t="str">
        <f t="shared" si="139"/>
        <v/>
      </c>
      <c r="M1785" s="18" t="str">
        <f>IF(J1785&lt;&gt;-1,"",ROUND(F1785*IFERROR(INDEX(Stocuri!$G$5:$G$204,MATCH(D1785,Coduri,0)),0),2))</f>
        <v/>
      </c>
      <c r="N1785" s="19" t="str">
        <f t="shared" si="140"/>
        <v/>
      </c>
    </row>
    <row r="1786" spans="2:14" x14ac:dyDescent="0.2">
      <c r="B1786" s="15"/>
      <c r="C1786" s="6"/>
      <c r="D1786" s="12"/>
      <c r="E1786" s="10" t="str">
        <f t="shared" si="136"/>
        <v/>
      </c>
      <c r="F1786" s="16"/>
      <c r="G1786" s="13"/>
      <c r="H1786" s="6"/>
      <c r="I1786" s="6"/>
      <c r="J1786" s="11" t="str">
        <f t="shared" si="137"/>
        <v/>
      </c>
      <c r="K1786" s="17" t="str">
        <f t="shared" si="138"/>
        <v/>
      </c>
      <c r="L1786" s="18" t="str">
        <f t="shared" si="139"/>
        <v/>
      </c>
      <c r="M1786" s="18" t="str">
        <f>IF(J1786&lt;&gt;-1,"",ROUND(F1786*IFERROR(INDEX(Stocuri!$G$5:$G$204,MATCH(D1786,Coduri,0)),0),2))</f>
        <v/>
      </c>
      <c r="N1786" s="19" t="str">
        <f t="shared" si="140"/>
        <v/>
      </c>
    </row>
    <row r="1787" spans="2:14" x14ac:dyDescent="0.2">
      <c r="B1787" s="15"/>
      <c r="C1787" s="6"/>
      <c r="D1787" s="12"/>
      <c r="E1787" s="10" t="str">
        <f t="shared" si="136"/>
        <v/>
      </c>
      <c r="F1787" s="16"/>
      <c r="G1787" s="13"/>
      <c r="H1787" s="6"/>
      <c r="I1787" s="6"/>
      <c r="J1787" s="11" t="str">
        <f t="shared" si="137"/>
        <v/>
      </c>
      <c r="K1787" s="17" t="str">
        <f t="shared" si="138"/>
        <v/>
      </c>
      <c r="L1787" s="18" t="str">
        <f t="shared" si="139"/>
        <v/>
      </c>
      <c r="M1787" s="18" t="str">
        <f>IF(J1787&lt;&gt;-1,"",ROUND(F1787*IFERROR(INDEX(Stocuri!$G$5:$G$204,MATCH(D1787,Coduri,0)),0),2))</f>
        <v/>
      </c>
      <c r="N1787" s="19" t="str">
        <f t="shared" si="140"/>
        <v/>
      </c>
    </row>
    <row r="1788" spans="2:14" x14ac:dyDescent="0.2">
      <c r="B1788" s="15"/>
      <c r="C1788" s="6"/>
      <c r="D1788" s="12"/>
      <c r="E1788" s="10" t="str">
        <f t="shared" si="136"/>
        <v/>
      </c>
      <c r="F1788" s="16"/>
      <c r="G1788" s="13"/>
      <c r="H1788" s="6"/>
      <c r="I1788" s="6"/>
      <c r="J1788" s="11" t="str">
        <f t="shared" si="137"/>
        <v/>
      </c>
      <c r="K1788" s="17" t="str">
        <f t="shared" si="138"/>
        <v/>
      </c>
      <c r="L1788" s="18" t="str">
        <f t="shared" si="139"/>
        <v/>
      </c>
      <c r="M1788" s="18" t="str">
        <f>IF(J1788&lt;&gt;-1,"",ROUND(F1788*IFERROR(INDEX(Stocuri!$G$5:$G$204,MATCH(D1788,Coduri,0)),0),2))</f>
        <v/>
      </c>
      <c r="N1788" s="19" t="str">
        <f t="shared" si="140"/>
        <v/>
      </c>
    </row>
    <row r="1789" spans="2:14" x14ac:dyDescent="0.2">
      <c r="B1789" s="15"/>
      <c r="C1789" s="6"/>
      <c r="D1789" s="12"/>
      <c r="E1789" s="10" t="str">
        <f t="shared" si="136"/>
        <v/>
      </c>
      <c r="F1789" s="16"/>
      <c r="G1789" s="13"/>
      <c r="H1789" s="6"/>
      <c r="I1789" s="6"/>
      <c r="J1789" s="11" t="str">
        <f t="shared" si="137"/>
        <v/>
      </c>
      <c r="K1789" s="17" t="str">
        <f t="shared" si="138"/>
        <v/>
      </c>
      <c r="L1789" s="18" t="str">
        <f t="shared" si="139"/>
        <v/>
      </c>
      <c r="M1789" s="18" t="str">
        <f>IF(J1789&lt;&gt;-1,"",ROUND(F1789*IFERROR(INDEX(Stocuri!$G$5:$G$204,MATCH(D1789,Coduri,0)),0),2))</f>
        <v/>
      </c>
      <c r="N1789" s="19" t="str">
        <f t="shared" si="140"/>
        <v/>
      </c>
    </row>
    <row r="1790" spans="2:14" x14ac:dyDescent="0.2">
      <c r="B1790" s="15"/>
      <c r="C1790" s="6"/>
      <c r="D1790" s="12"/>
      <c r="E1790" s="10" t="str">
        <f t="shared" si="136"/>
        <v/>
      </c>
      <c r="F1790" s="16"/>
      <c r="G1790" s="13"/>
      <c r="H1790" s="6"/>
      <c r="I1790" s="6"/>
      <c r="J1790" s="11" t="str">
        <f t="shared" si="137"/>
        <v/>
      </c>
      <c r="K1790" s="17" t="str">
        <f t="shared" si="138"/>
        <v/>
      </c>
      <c r="L1790" s="18" t="str">
        <f t="shared" si="139"/>
        <v/>
      </c>
      <c r="M1790" s="18" t="str">
        <f>IF(J1790&lt;&gt;-1,"",ROUND(F1790*IFERROR(INDEX(Stocuri!$G$5:$G$204,MATCH(D1790,Coduri,0)),0),2))</f>
        <v/>
      </c>
      <c r="N1790" s="19" t="str">
        <f t="shared" si="140"/>
        <v/>
      </c>
    </row>
    <row r="1791" spans="2:14" x14ac:dyDescent="0.2">
      <c r="B1791" s="15"/>
      <c r="C1791" s="6"/>
      <c r="D1791" s="12"/>
      <c r="E1791" s="10" t="str">
        <f t="shared" si="136"/>
        <v/>
      </c>
      <c r="F1791" s="16"/>
      <c r="G1791" s="13"/>
      <c r="H1791" s="6"/>
      <c r="I1791" s="6"/>
      <c r="J1791" s="11" t="str">
        <f t="shared" si="137"/>
        <v/>
      </c>
      <c r="K1791" s="17" t="str">
        <f t="shared" si="138"/>
        <v/>
      </c>
      <c r="L1791" s="18" t="str">
        <f t="shared" si="139"/>
        <v/>
      </c>
      <c r="M1791" s="18" t="str">
        <f>IF(J1791&lt;&gt;-1,"",ROUND(F1791*IFERROR(INDEX(Stocuri!$G$5:$G$204,MATCH(D1791,Coduri,0)),0),2))</f>
        <v/>
      </c>
      <c r="N1791" s="19" t="str">
        <f t="shared" si="140"/>
        <v/>
      </c>
    </row>
    <row r="1792" spans="2:14" x14ac:dyDescent="0.2">
      <c r="B1792" s="15"/>
      <c r="C1792" s="6"/>
      <c r="D1792" s="12"/>
      <c r="E1792" s="10" t="str">
        <f t="shared" si="136"/>
        <v/>
      </c>
      <c r="F1792" s="16"/>
      <c r="G1792" s="13"/>
      <c r="H1792" s="6"/>
      <c r="I1792" s="6"/>
      <c r="J1792" s="11" t="str">
        <f t="shared" si="137"/>
        <v/>
      </c>
      <c r="K1792" s="17" t="str">
        <f t="shared" si="138"/>
        <v/>
      </c>
      <c r="L1792" s="18" t="str">
        <f t="shared" si="139"/>
        <v/>
      </c>
      <c r="M1792" s="18" t="str">
        <f>IF(J1792&lt;&gt;-1,"",ROUND(F1792*IFERROR(INDEX(Stocuri!$G$5:$G$204,MATCH(D1792,Coduri,0)),0),2))</f>
        <v/>
      </c>
      <c r="N1792" s="19" t="str">
        <f t="shared" si="140"/>
        <v/>
      </c>
    </row>
    <row r="1793" spans="2:14" x14ac:dyDescent="0.2">
      <c r="B1793" s="15"/>
      <c r="C1793" s="6"/>
      <c r="D1793" s="12"/>
      <c r="E1793" s="10" t="str">
        <f t="shared" si="136"/>
        <v/>
      </c>
      <c r="F1793" s="16"/>
      <c r="G1793" s="13"/>
      <c r="H1793" s="6"/>
      <c r="I1793" s="6"/>
      <c r="J1793" s="11" t="str">
        <f t="shared" si="137"/>
        <v/>
      </c>
      <c r="K1793" s="17" t="str">
        <f t="shared" si="138"/>
        <v/>
      </c>
      <c r="L1793" s="18" t="str">
        <f t="shared" si="139"/>
        <v/>
      </c>
      <c r="M1793" s="18" t="str">
        <f>IF(J1793&lt;&gt;-1,"",ROUND(F1793*IFERROR(INDEX(Stocuri!$G$5:$G$204,MATCH(D1793,Coduri,0)),0),2))</f>
        <v/>
      </c>
      <c r="N1793" s="19" t="str">
        <f t="shared" si="140"/>
        <v/>
      </c>
    </row>
    <row r="1794" spans="2:14" x14ac:dyDescent="0.2">
      <c r="B1794" s="15"/>
      <c r="C1794" s="6"/>
      <c r="D1794" s="12"/>
      <c r="E1794" s="10" t="str">
        <f t="shared" si="136"/>
        <v/>
      </c>
      <c r="F1794" s="16"/>
      <c r="G1794" s="13"/>
      <c r="H1794" s="6"/>
      <c r="I1794" s="6"/>
      <c r="J1794" s="11" t="str">
        <f t="shared" si="137"/>
        <v/>
      </c>
      <c r="K1794" s="17" t="str">
        <f t="shared" si="138"/>
        <v/>
      </c>
      <c r="L1794" s="18" t="str">
        <f t="shared" si="139"/>
        <v/>
      </c>
      <c r="M1794" s="18" t="str">
        <f>IF(J1794&lt;&gt;-1,"",ROUND(F1794*IFERROR(INDEX(Stocuri!$G$5:$G$204,MATCH(D1794,Coduri,0)),0),2))</f>
        <v/>
      </c>
      <c r="N1794" s="19" t="str">
        <f t="shared" si="140"/>
        <v/>
      </c>
    </row>
    <row r="1795" spans="2:14" x14ac:dyDescent="0.2">
      <c r="B1795" s="15"/>
      <c r="C1795" s="6"/>
      <c r="D1795" s="12"/>
      <c r="E1795" s="10" t="str">
        <f t="shared" si="136"/>
        <v/>
      </c>
      <c r="F1795" s="16"/>
      <c r="G1795" s="13"/>
      <c r="H1795" s="6"/>
      <c r="I1795" s="6"/>
      <c r="J1795" s="11" t="str">
        <f t="shared" si="137"/>
        <v/>
      </c>
      <c r="K1795" s="17" t="str">
        <f t="shared" si="138"/>
        <v/>
      </c>
      <c r="L1795" s="18" t="str">
        <f t="shared" si="139"/>
        <v/>
      </c>
      <c r="M1795" s="18" t="str">
        <f>IF(J1795&lt;&gt;-1,"",ROUND(F1795*IFERROR(INDEX(Stocuri!$G$5:$G$204,MATCH(D1795,Coduri,0)),0),2))</f>
        <v/>
      </c>
      <c r="N1795" s="19" t="str">
        <f t="shared" si="140"/>
        <v/>
      </c>
    </row>
    <row r="1796" spans="2:14" x14ac:dyDescent="0.2">
      <c r="B1796" s="15"/>
      <c r="C1796" s="6"/>
      <c r="D1796" s="12"/>
      <c r="E1796" s="10" t="str">
        <f t="shared" si="136"/>
        <v/>
      </c>
      <c r="F1796" s="16"/>
      <c r="G1796" s="13"/>
      <c r="H1796" s="6"/>
      <c r="I1796" s="6"/>
      <c r="J1796" s="11" t="str">
        <f t="shared" si="137"/>
        <v/>
      </c>
      <c r="K1796" s="17" t="str">
        <f t="shared" si="138"/>
        <v/>
      </c>
      <c r="L1796" s="18" t="str">
        <f t="shared" si="139"/>
        <v/>
      </c>
      <c r="M1796" s="18" t="str">
        <f>IF(J1796&lt;&gt;-1,"",ROUND(F1796*IFERROR(INDEX(Stocuri!$G$5:$G$204,MATCH(D1796,Coduri,0)),0),2))</f>
        <v/>
      </c>
      <c r="N1796" s="19" t="str">
        <f t="shared" si="140"/>
        <v/>
      </c>
    </row>
    <row r="1797" spans="2:14" x14ac:dyDescent="0.2">
      <c r="B1797" s="15"/>
      <c r="C1797" s="6"/>
      <c r="D1797" s="12"/>
      <c r="E1797" s="10" t="str">
        <f t="shared" ref="E1797:E1860" si="141">IF(D1797="","",IFERROR(VLOOKUP(D1797,Catalog,2,FALSE),""))</f>
        <v/>
      </c>
      <c r="F1797" s="16"/>
      <c r="G1797" s="13"/>
      <c r="H1797" s="6"/>
      <c r="I1797" s="6"/>
      <c r="J1797" s="11" t="str">
        <f t="shared" ref="J1797:J1860" si="142">IF(C1797="","",IFERROR(VLOOKUP(C1797,TipSemn,2,FALSE),""))</f>
        <v/>
      </c>
      <c r="K1797" s="17" t="str">
        <f t="shared" ref="K1797:K1860" si="143">IF(OR(J1797="",F1797=""),"",J1797*F1797)</f>
        <v/>
      </c>
      <c r="L1797" s="18" t="str">
        <f t="shared" ref="L1797:L1860" si="144">IF(OR(J1797&lt;&gt;1,G1797=""),"",ROUND(F1797*G1797,2))</f>
        <v/>
      </c>
      <c r="M1797" s="18" t="str">
        <f>IF(J1797&lt;&gt;-1,"",ROUND(F1797*IFERROR(INDEX(Stocuri!$G$5:$G$204,MATCH(D1797,Coduri,0)),0),2))</f>
        <v/>
      </c>
      <c r="N1797" s="19" t="str">
        <f t="shared" ref="N1797:N1860" si="145">IF(AND(B1797="",D1797=""),"",TRIM(IF(OR(B1797="",C1797="",D1797="",F1797=""),"Date incomplete. ","")&amp;IF(AND(D1797&lt;&gt;"",E1797=""),"Cod necunoscut. ","")&amp;IF(AND(J1797=1,C1797&lt;&gt;"Retur de la client",C1797&lt;&gt;"Ajustare inventar +",G1797=""),"Lipsește prețul de intrare. ","")&amp;IF(AND(J1797=-1,D1797&lt;&gt;"",SUMIFS($K$5:$K$2004,$D$5:$D$2004,D1797,$B$5:$B$2004,"&lt;="&amp;B1797)&lt;0),"Stoc insuficient la această dată. ","")&amp;IF(AND(C1797&lt;&gt;"Stoc inițial",H1797=""),"Lipsește documentul. ","")))</f>
        <v/>
      </c>
    </row>
    <row r="1798" spans="2:14" x14ac:dyDescent="0.2">
      <c r="B1798" s="15"/>
      <c r="C1798" s="6"/>
      <c r="D1798" s="12"/>
      <c r="E1798" s="10" t="str">
        <f t="shared" si="141"/>
        <v/>
      </c>
      <c r="F1798" s="16"/>
      <c r="G1798" s="13"/>
      <c r="H1798" s="6"/>
      <c r="I1798" s="6"/>
      <c r="J1798" s="11" t="str">
        <f t="shared" si="142"/>
        <v/>
      </c>
      <c r="K1798" s="17" t="str">
        <f t="shared" si="143"/>
        <v/>
      </c>
      <c r="L1798" s="18" t="str">
        <f t="shared" si="144"/>
        <v/>
      </c>
      <c r="M1798" s="18" t="str">
        <f>IF(J1798&lt;&gt;-1,"",ROUND(F1798*IFERROR(INDEX(Stocuri!$G$5:$G$204,MATCH(D1798,Coduri,0)),0),2))</f>
        <v/>
      </c>
      <c r="N1798" s="19" t="str">
        <f t="shared" si="145"/>
        <v/>
      </c>
    </row>
    <row r="1799" spans="2:14" x14ac:dyDescent="0.2">
      <c r="B1799" s="15"/>
      <c r="C1799" s="6"/>
      <c r="D1799" s="12"/>
      <c r="E1799" s="10" t="str">
        <f t="shared" si="141"/>
        <v/>
      </c>
      <c r="F1799" s="16"/>
      <c r="G1799" s="13"/>
      <c r="H1799" s="6"/>
      <c r="I1799" s="6"/>
      <c r="J1799" s="11" t="str">
        <f t="shared" si="142"/>
        <v/>
      </c>
      <c r="K1799" s="17" t="str">
        <f t="shared" si="143"/>
        <v/>
      </c>
      <c r="L1799" s="18" t="str">
        <f t="shared" si="144"/>
        <v/>
      </c>
      <c r="M1799" s="18" t="str">
        <f>IF(J1799&lt;&gt;-1,"",ROUND(F1799*IFERROR(INDEX(Stocuri!$G$5:$G$204,MATCH(D1799,Coduri,0)),0),2))</f>
        <v/>
      </c>
      <c r="N1799" s="19" t="str">
        <f t="shared" si="145"/>
        <v/>
      </c>
    </row>
    <row r="1800" spans="2:14" x14ac:dyDescent="0.2">
      <c r="B1800" s="15"/>
      <c r="C1800" s="6"/>
      <c r="D1800" s="12"/>
      <c r="E1800" s="10" t="str">
        <f t="shared" si="141"/>
        <v/>
      </c>
      <c r="F1800" s="16"/>
      <c r="G1800" s="13"/>
      <c r="H1800" s="6"/>
      <c r="I1800" s="6"/>
      <c r="J1800" s="11" t="str">
        <f t="shared" si="142"/>
        <v/>
      </c>
      <c r="K1800" s="17" t="str">
        <f t="shared" si="143"/>
        <v/>
      </c>
      <c r="L1800" s="18" t="str">
        <f t="shared" si="144"/>
        <v/>
      </c>
      <c r="M1800" s="18" t="str">
        <f>IF(J1800&lt;&gt;-1,"",ROUND(F1800*IFERROR(INDEX(Stocuri!$G$5:$G$204,MATCH(D1800,Coduri,0)),0),2))</f>
        <v/>
      </c>
      <c r="N1800" s="19" t="str">
        <f t="shared" si="145"/>
        <v/>
      </c>
    </row>
    <row r="1801" spans="2:14" x14ac:dyDescent="0.2">
      <c r="B1801" s="15"/>
      <c r="C1801" s="6"/>
      <c r="D1801" s="12"/>
      <c r="E1801" s="10" t="str">
        <f t="shared" si="141"/>
        <v/>
      </c>
      <c r="F1801" s="16"/>
      <c r="G1801" s="13"/>
      <c r="H1801" s="6"/>
      <c r="I1801" s="6"/>
      <c r="J1801" s="11" t="str">
        <f t="shared" si="142"/>
        <v/>
      </c>
      <c r="K1801" s="17" t="str">
        <f t="shared" si="143"/>
        <v/>
      </c>
      <c r="L1801" s="18" t="str">
        <f t="shared" si="144"/>
        <v/>
      </c>
      <c r="M1801" s="18" t="str">
        <f>IF(J1801&lt;&gt;-1,"",ROUND(F1801*IFERROR(INDEX(Stocuri!$G$5:$G$204,MATCH(D1801,Coduri,0)),0),2))</f>
        <v/>
      </c>
      <c r="N1801" s="19" t="str">
        <f t="shared" si="145"/>
        <v/>
      </c>
    </row>
    <row r="1802" spans="2:14" x14ac:dyDescent="0.2">
      <c r="B1802" s="15"/>
      <c r="C1802" s="6"/>
      <c r="D1802" s="12"/>
      <c r="E1802" s="10" t="str">
        <f t="shared" si="141"/>
        <v/>
      </c>
      <c r="F1802" s="16"/>
      <c r="G1802" s="13"/>
      <c r="H1802" s="6"/>
      <c r="I1802" s="6"/>
      <c r="J1802" s="11" t="str">
        <f t="shared" si="142"/>
        <v/>
      </c>
      <c r="K1802" s="17" t="str">
        <f t="shared" si="143"/>
        <v/>
      </c>
      <c r="L1802" s="18" t="str">
        <f t="shared" si="144"/>
        <v/>
      </c>
      <c r="M1802" s="18" t="str">
        <f>IF(J1802&lt;&gt;-1,"",ROUND(F1802*IFERROR(INDEX(Stocuri!$G$5:$G$204,MATCH(D1802,Coduri,0)),0),2))</f>
        <v/>
      </c>
      <c r="N1802" s="19" t="str">
        <f t="shared" si="145"/>
        <v/>
      </c>
    </row>
    <row r="1803" spans="2:14" x14ac:dyDescent="0.2">
      <c r="B1803" s="15"/>
      <c r="C1803" s="6"/>
      <c r="D1803" s="12"/>
      <c r="E1803" s="10" t="str">
        <f t="shared" si="141"/>
        <v/>
      </c>
      <c r="F1803" s="16"/>
      <c r="G1803" s="13"/>
      <c r="H1803" s="6"/>
      <c r="I1803" s="6"/>
      <c r="J1803" s="11" t="str">
        <f t="shared" si="142"/>
        <v/>
      </c>
      <c r="K1803" s="17" t="str">
        <f t="shared" si="143"/>
        <v/>
      </c>
      <c r="L1803" s="18" t="str">
        <f t="shared" si="144"/>
        <v/>
      </c>
      <c r="M1803" s="18" t="str">
        <f>IF(J1803&lt;&gt;-1,"",ROUND(F1803*IFERROR(INDEX(Stocuri!$G$5:$G$204,MATCH(D1803,Coduri,0)),0),2))</f>
        <v/>
      </c>
      <c r="N1803" s="19" t="str">
        <f t="shared" si="145"/>
        <v/>
      </c>
    </row>
    <row r="1804" spans="2:14" x14ac:dyDescent="0.2">
      <c r="B1804" s="15"/>
      <c r="C1804" s="6"/>
      <c r="D1804" s="12"/>
      <c r="E1804" s="10" t="str">
        <f t="shared" si="141"/>
        <v/>
      </c>
      <c r="F1804" s="16"/>
      <c r="G1804" s="13"/>
      <c r="H1804" s="6"/>
      <c r="I1804" s="6"/>
      <c r="J1804" s="11" t="str">
        <f t="shared" si="142"/>
        <v/>
      </c>
      <c r="K1804" s="17" t="str">
        <f t="shared" si="143"/>
        <v/>
      </c>
      <c r="L1804" s="18" t="str">
        <f t="shared" si="144"/>
        <v/>
      </c>
      <c r="M1804" s="18" t="str">
        <f>IF(J1804&lt;&gt;-1,"",ROUND(F1804*IFERROR(INDEX(Stocuri!$G$5:$G$204,MATCH(D1804,Coduri,0)),0),2))</f>
        <v/>
      </c>
      <c r="N1804" s="19" t="str">
        <f t="shared" si="145"/>
        <v/>
      </c>
    </row>
    <row r="1805" spans="2:14" x14ac:dyDescent="0.2">
      <c r="B1805" s="15"/>
      <c r="C1805" s="6"/>
      <c r="D1805" s="12"/>
      <c r="E1805" s="10" t="str">
        <f t="shared" si="141"/>
        <v/>
      </c>
      <c r="F1805" s="16"/>
      <c r="G1805" s="13"/>
      <c r="H1805" s="6"/>
      <c r="I1805" s="6"/>
      <c r="J1805" s="11" t="str">
        <f t="shared" si="142"/>
        <v/>
      </c>
      <c r="K1805" s="17" t="str">
        <f t="shared" si="143"/>
        <v/>
      </c>
      <c r="L1805" s="18" t="str">
        <f t="shared" si="144"/>
        <v/>
      </c>
      <c r="M1805" s="18" t="str">
        <f>IF(J1805&lt;&gt;-1,"",ROUND(F1805*IFERROR(INDEX(Stocuri!$G$5:$G$204,MATCH(D1805,Coduri,0)),0),2))</f>
        <v/>
      </c>
      <c r="N1805" s="19" t="str">
        <f t="shared" si="145"/>
        <v/>
      </c>
    </row>
    <row r="1806" spans="2:14" x14ac:dyDescent="0.2">
      <c r="B1806" s="15"/>
      <c r="C1806" s="6"/>
      <c r="D1806" s="12"/>
      <c r="E1806" s="10" t="str">
        <f t="shared" si="141"/>
        <v/>
      </c>
      <c r="F1806" s="16"/>
      <c r="G1806" s="13"/>
      <c r="H1806" s="6"/>
      <c r="I1806" s="6"/>
      <c r="J1806" s="11" t="str">
        <f t="shared" si="142"/>
        <v/>
      </c>
      <c r="K1806" s="17" t="str">
        <f t="shared" si="143"/>
        <v/>
      </c>
      <c r="L1806" s="18" t="str">
        <f t="shared" si="144"/>
        <v/>
      </c>
      <c r="M1806" s="18" t="str">
        <f>IF(J1806&lt;&gt;-1,"",ROUND(F1806*IFERROR(INDEX(Stocuri!$G$5:$G$204,MATCH(D1806,Coduri,0)),0),2))</f>
        <v/>
      </c>
      <c r="N1806" s="19" t="str">
        <f t="shared" si="145"/>
        <v/>
      </c>
    </row>
    <row r="1807" spans="2:14" x14ac:dyDescent="0.2">
      <c r="B1807" s="15"/>
      <c r="C1807" s="6"/>
      <c r="D1807" s="12"/>
      <c r="E1807" s="10" t="str">
        <f t="shared" si="141"/>
        <v/>
      </c>
      <c r="F1807" s="16"/>
      <c r="G1807" s="13"/>
      <c r="H1807" s="6"/>
      <c r="I1807" s="6"/>
      <c r="J1807" s="11" t="str">
        <f t="shared" si="142"/>
        <v/>
      </c>
      <c r="K1807" s="17" t="str">
        <f t="shared" si="143"/>
        <v/>
      </c>
      <c r="L1807" s="18" t="str">
        <f t="shared" si="144"/>
        <v/>
      </c>
      <c r="M1807" s="18" t="str">
        <f>IF(J1807&lt;&gt;-1,"",ROUND(F1807*IFERROR(INDEX(Stocuri!$G$5:$G$204,MATCH(D1807,Coduri,0)),0),2))</f>
        <v/>
      </c>
      <c r="N1807" s="19" t="str">
        <f t="shared" si="145"/>
        <v/>
      </c>
    </row>
    <row r="1808" spans="2:14" x14ac:dyDescent="0.2">
      <c r="B1808" s="15"/>
      <c r="C1808" s="6"/>
      <c r="D1808" s="12"/>
      <c r="E1808" s="10" t="str">
        <f t="shared" si="141"/>
        <v/>
      </c>
      <c r="F1808" s="16"/>
      <c r="G1808" s="13"/>
      <c r="H1808" s="6"/>
      <c r="I1808" s="6"/>
      <c r="J1808" s="11" t="str">
        <f t="shared" si="142"/>
        <v/>
      </c>
      <c r="K1808" s="17" t="str">
        <f t="shared" si="143"/>
        <v/>
      </c>
      <c r="L1808" s="18" t="str">
        <f t="shared" si="144"/>
        <v/>
      </c>
      <c r="M1808" s="18" t="str">
        <f>IF(J1808&lt;&gt;-1,"",ROUND(F1808*IFERROR(INDEX(Stocuri!$G$5:$G$204,MATCH(D1808,Coduri,0)),0),2))</f>
        <v/>
      </c>
      <c r="N1808" s="19" t="str">
        <f t="shared" si="145"/>
        <v/>
      </c>
    </row>
    <row r="1809" spans="2:14" x14ac:dyDescent="0.2">
      <c r="B1809" s="15"/>
      <c r="C1809" s="6"/>
      <c r="D1809" s="12"/>
      <c r="E1809" s="10" t="str">
        <f t="shared" si="141"/>
        <v/>
      </c>
      <c r="F1809" s="16"/>
      <c r="G1809" s="13"/>
      <c r="H1809" s="6"/>
      <c r="I1809" s="6"/>
      <c r="J1809" s="11" t="str">
        <f t="shared" si="142"/>
        <v/>
      </c>
      <c r="K1809" s="17" t="str">
        <f t="shared" si="143"/>
        <v/>
      </c>
      <c r="L1809" s="18" t="str">
        <f t="shared" si="144"/>
        <v/>
      </c>
      <c r="M1809" s="18" t="str">
        <f>IF(J1809&lt;&gt;-1,"",ROUND(F1809*IFERROR(INDEX(Stocuri!$G$5:$G$204,MATCH(D1809,Coduri,0)),0),2))</f>
        <v/>
      </c>
      <c r="N1809" s="19" t="str">
        <f t="shared" si="145"/>
        <v/>
      </c>
    </row>
    <row r="1810" spans="2:14" x14ac:dyDescent="0.2">
      <c r="B1810" s="15"/>
      <c r="C1810" s="6"/>
      <c r="D1810" s="12"/>
      <c r="E1810" s="10" t="str">
        <f t="shared" si="141"/>
        <v/>
      </c>
      <c r="F1810" s="16"/>
      <c r="G1810" s="13"/>
      <c r="H1810" s="6"/>
      <c r="I1810" s="6"/>
      <c r="J1810" s="11" t="str">
        <f t="shared" si="142"/>
        <v/>
      </c>
      <c r="K1810" s="17" t="str">
        <f t="shared" si="143"/>
        <v/>
      </c>
      <c r="L1810" s="18" t="str">
        <f t="shared" si="144"/>
        <v/>
      </c>
      <c r="M1810" s="18" t="str">
        <f>IF(J1810&lt;&gt;-1,"",ROUND(F1810*IFERROR(INDEX(Stocuri!$G$5:$G$204,MATCH(D1810,Coduri,0)),0),2))</f>
        <v/>
      </c>
      <c r="N1810" s="19" t="str">
        <f t="shared" si="145"/>
        <v/>
      </c>
    </row>
    <row r="1811" spans="2:14" x14ac:dyDescent="0.2">
      <c r="B1811" s="15"/>
      <c r="C1811" s="6"/>
      <c r="D1811" s="12"/>
      <c r="E1811" s="10" t="str">
        <f t="shared" si="141"/>
        <v/>
      </c>
      <c r="F1811" s="16"/>
      <c r="G1811" s="13"/>
      <c r="H1811" s="6"/>
      <c r="I1811" s="6"/>
      <c r="J1811" s="11" t="str">
        <f t="shared" si="142"/>
        <v/>
      </c>
      <c r="K1811" s="17" t="str">
        <f t="shared" si="143"/>
        <v/>
      </c>
      <c r="L1811" s="18" t="str">
        <f t="shared" si="144"/>
        <v/>
      </c>
      <c r="M1811" s="18" t="str">
        <f>IF(J1811&lt;&gt;-1,"",ROUND(F1811*IFERROR(INDEX(Stocuri!$G$5:$G$204,MATCH(D1811,Coduri,0)),0),2))</f>
        <v/>
      </c>
      <c r="N1811" s="19" t="str">
        <f t="shared" si="145"/>
        <v/>
      </c>
    </row>
    <row r="1812" spans="2:14" x14ac:dyDescent="0.2">
      <c r="B1812" s="15"/>
      <c r="C1812" s="6"/>
      <c r="D1812" s="12"/>
      <c r="E1812" s="10" t="str">
        <f t="shared" si="141"/>
        <v/>
      </c>
      <c r="F1812" s="16"/>
      <c r="G1812" s="13"/>
      <c r="H1812" s="6"/>
      <c r="I1812" s="6"/>
      <c r="J1812" s="11" t="str">
        <f t="shared" si="142"/>
        <v/>
      </c>
      <c r="K1812" s="17" t="str">
        <f t="shared" si="143"/>
        <v/>
      </c>
      <c r="L1812" s="18" t="str">
        <f t="shared" si="144"/>
        <v/>
      </c>
      <c r="M1812" s="18" t="str">
        <f>IF(J1812&lt;&gt;-1,"",ROUND(F1812*IFERROR(INDEX(Stocuri!$G$5:$G$204,MATCH(D1812,Coduri,0)),0),2))</f>
        <v/>
      </c>
      <c r="N1812" s="19" t="str">
        <f t="shared" si="145"/>
        <v/>
      </c>
    </row>
    <row r="1813" spans="2:14" x14ac:dyDescent="0.2">
      <c r="B1813" s="15"/>
      <c r="C1813" s="6"/>
      <c r="D1813" s="12"/>
      <c r="E1813" s="10" t="str">
        <f t="shared" si="141"/>
        <v/>
      </c>
      <c r="F1813" s="16"/>
      <c r="G1813" s="13"/>
      <c r="H1813" s="6"/>
      <c r="I1813" s="6"/>
      <c r="J1813" s="11" t="str">
        <f t="shared" si="142"/>
        <v/>
      </c>
      <c r="K1813" s="17" t="str">
        <f t="shared" si="143"/>
        <v/>
      </c>
      <c r="L1813" s="18" t="str">
        <f t="shared" si="144"/>
        <v/>
      </c>
      <c r="M1813" s="18" t="str">
        <f>IF(J1813&lt;&gt;-1,"",ROUND(F1813*IFERROR(INDEX(Stocuri!$G$5:$G$204,MATCH(D1813,Coduri,0)),0),2))</f>
        <v/>
      </c>
      <c r="N1813" s="19" t="str">
        <f t="shared" si="145"/>
        <v/>
      </c>
    </row>
    <row r="1814" spans="2:14" x14ac:dyDescent="0.2">
      <c r="B1814" s="15"/>
      <c r="C1814" s="6"/>
      <c r="D1814" s="12"/>
      <c r="E1814" s="10" t="str">
        <f t="shared" si="141"/>
        <v/>
      </c>
      <c r="F1814" s="16"/>
      <c r="G1814" s="13"/>
      <c r="H1814" s="6"/>
      <c r="I1814" s="6"/>
      <c r="J1814" s="11" t="str">
        <f t="shared" si="142"/>
        <v/>
      </c>
      <c r="K1814" s="17" t="str">
        <f t="shared" si="143"/>
        <v/>
      </c>
      <c r="L1814" s="18" t="str">
        <f t="shared" si="144"/>
        <v/>
      </c>
      <c r="M1814" s="18" t="str">
        <f>IF(J1814&lt;&gt;-1,"",ROUND(F1814*IFERROR(INDEX(Stocuri!$G$5:$G$204,MATCH(D1814,Coduri,0)),0),2))</f>
        <v/>
      </c>
      <c r="N1814" s="19" t="str">
        <f t="shared" si="145"/>
        <v/>
      </c>
    </row>
    <row r="1815" spans="2:14" x14ac:dyDescent="0.2">
      <c r="B1815" s="15"/>
      <c r="C1815" s="6"/>
      <c r="D1815" s="12"/>
      <c r="E1815" s="10" t="str">
        <f t="shared" si="141"/>
        <v/>
      </c>
      <c r="F1815" s="16"/>
      <c r="G1815" s="13"/>
      <c r="H1815" s="6"/>
      <c r="I1815" s="6"/>
      <c r="J1815" s="11" t="str">
        <f t="shared" si="142"/>
        <v/>
      </c>
      <c r="K1815" s="17" t="str">
        <f t="shared" si="143"/>
        <v/>
      </c>
      <c r="L1815" s="18" t="str">
        <f t="shared" si="144"/>
        <v/>
      </c>
      <c r="M1815" s="18" t="str">
        <f>IF(J1815&lt;&gt;-1,"",ROUND(F1815*IFERROR(INDEX(Stocuri!$G$5:$G$204,MATCH(D1815,Coduri,0)),0),2))</f>
        <v/>
      </c>
      <c r="N1815" s="19" t="str">
        <f t="shared" si="145"/>
        <v/>
      </c>
    </row>
    <row r="1816" spans="2:14" x14ac:dyDescent="0.2">
      <c r="B1816" s="15"/>
      <c r="C1816" s="6"/>
      <c r="D1816" s="12"/>
      <c r="E1816" s="10" t="str">
        <f t="shared" si="141"/>
        <v/>
      </c>
      <c r="F1816" s="16"/>
      <c r="G1816" s="13"/>
      <c r="H1816" s="6"/>
      <c r="I1816" s="6"/>
      <c r="J1816" s="11" t="str">
        <f t="shared" si="142"/>
        <v/>
      </c>
      <c r="K1816" s="17" t="str">
        <f t="shared" si="143"/>
        <v/>
      </c>
      <c r="L1816" s="18" t="str">
        <f t="shared" si="144"/>
        <v/>
      </c>
      <c r="M1816" s="18" t="str">
        <f>IF(J1816&lt;&gt;-1,"",ROUND(F1816*IFERROR(INDEX(Stocuri!$G$5:$G$204,MATCH(D1816,Coduri,0)),0),2))</f>
        <v/>
      </c>
      <c r="N1816" s="19" t="str">
        <f t="shared" si="145"/>
        <v/>
      </c>
    </row>
    <row r="1817" spans="2:14" x14ac:dyDescent="0.2">
      <c r="B1817" s="15"/>
      <c r="C1817" s="6"/>
      <c r="D1817" s="12"/>
      <c r="E1817" s="10" t="str">
        <f t="shared" si="141"/>
        <v/>
      </c>
      <c r="F1817" s="16"/>
      <c r="G1817" s="13"/>
      <c r="H1817" s="6"/>
      <c r="I1817" s="6"/>
      <c r="J1817" s="11" t="str">
        <f t="shared" si="142"/>
        <v/>
      </c>
      <c r="K1817" s="17" t="str">
        <f t="shared" si="143"/>
        <v/>
      </c>
      <c r="L1817" s="18" t="str">
        <f t="shared" si="144"/>
        <v/>
      </c>
      <c r="M1817" s="18" t="str">
        <f>IF(J1817&lt;&gt;-1,"",ROUND(F1817*IFERROR(INDEX(Stocuri!$G$5:$G$204,MATCH(D1817,Coduri,0)),0),2))</f>
        <v/>
      </c>
      <c r="N1817" s="19" t="str">
        <f t="shared" si="145"/>
        <v/>
      </c>
    </row>
    <row r="1818" spans="2:14" x14ac:dyDescent="0.2">
      <c r="B1818" s="15"/>
      <c r="C1818" s="6"/>
      <c r="D1818" s="12"/>
      <c r="E1818" s="10" t="str">
        <f t="shared" si="141"/>
        <v/>
      </c>
      <c r="F1818" s="16"/>
      <c r="G1818" s="13"/>
      <c r="H1818" s="6"/>
      <c r="I1818" s="6"/>
      <c r="J1818" s="11" t="str">
        <f t="shared" si="142"/>
        <v/>
      </c>
      <c r="K1818" s="17" t="str">
        <f t="shared" si="143"/>
        <v/>
      </c>
      <c r="L1818" s="18" t="str">
        <f t="shared" si="144"/>
        <v/>
      </c>
      <c r="M1818" s="18" t="str">
        <f>IF(J1818&lt;&gt;-1,"",ROUND(F1818*IFERROR(INDEX(Stocuri!$G$5:$G$204,MATCH(D1818,Coduri,0)),0),2))</f>
        <v/>
      </c>
      <c r="N1818" s="19" t="str">
        <f t="shared" si="145"/>
        <v/>
      </c>
    </row>
    <row r="1819" spans="2:14" x14ac:dyDescent="0.2">
      <c r="B1819" s="15"/>
      <c r="C1819" s="6"/>
      <c r="D1819" s="12"/>
      <c r="E1819" s="10" t="str">
        <f t="shared" si="141"/>
        <v/>
      </c>
      <c r="F1819" s="16"/>
      <c r="G1819" s="13"/>
      <c r="H1819" s="6"/>
      <c r="I1819" s="6"/>
      <c r="J1819" s="11" t="str">
        <f t="shared" si="142"/>
        <v/>
      </c>
      <c r="K1819" s="17" t="str">
        <f t="shared" si="143"/>
        <v/>
      </c>
      <c r="L1819" s="18" t="str">
        <f t="shared" si="144"/>
        <v/>
      </c>
      <c r="M1819" s="18" t="str">
        <f>IF(J1819&lt;&gt;-1,"",ROUND(F1819*IFERROR(INDEX(Stocuri!$G$5:$G$204,MATCH(D1819,Coduri,0)),0),2))</f>
        <v/>
      </c>
      <c r="N1819" s="19" t="str">
        <f t="shared" si="145"/>
        <v/>
      </c>
    </row>
    <row r="1820" spans="2:14" x14ac:dyDescent="0.2">
      <c r="B1820" s="15"/>
      <c r="C1820" s="6"/>
      <c r="D1820" s="12"/>
      <c r="E1820" s="10" t="str">
        <f t="shared" si="141"/>
        <v/>
      </c>
      <c r="F1820" s="16"/>
      <c r="G1820" s="13"/>
      <c r="H1820" s="6"/>
      <c r="I1820" s="6"/>
      <c r="J1820" s="11" t="str">
        <f t="shared" si="142"/>
        <v/>
      </c>
      <c r="K1820" s="17" t="str">
        <f t="shared" si="143"/>
        <v/>
      </c>
      <c r="L1820" s="18" t="str">
        <f t="shared" si="144"/>
        <v/>
      </c>
      <c r="M1820" s="18" t="str">
        <f>IF(J1820&lt;&gt;-1,"",ROUND(F1820*IFERROR(INDEX(Stocuri!$G$5:$G$204,MATCH(D1820,Coduri,0)),0),2))</f>
        <v/>
      </c>
      <c r="N1820" s="19" t="str">
        <f t="shared" si="145"/>
        <v/>
      </c>
    </row>
    <row r="1821" spans="2:14" x14ac:dyDescent="0.2">
      <c r="B1821" s="15"/>
      <c r="C1821" s="6"/>
      <c r="D1821" s="12"/>
      <c r="E1821" s="10" t="str">
        <f t="shared" si="141"/>
        <v/>
      </c>
      <c r="F1821" s="16"/>
      <c r="G1821" s="13"/>
      <c r="H1821" s="6"/>
      <c r="I1821" s="6"/>
      <c r="J1821" s="11" t="str">
        <f t="shared" si="142"/>
        <v/>
      </c>
      <c r="K1821" s="17" t="str">
        <f t="shared" si="143"/>
        <v/>
      </c>
      <c r="L1821" s="18" t="str">
        <f t="shared" si="144"/>
        <v/>
      </c>
      <c r="M1821" s="18" t="str">
        <f>IF(J1821&lt;&gt;-1,"",ROUND(F1821*IFERROR(INDEX(Stocuri!$G$5:$G$204,MATCH(D1821,Coduri,0)),0),2))</f>
        <v/>
      </c>
      <c r="N1821" s="19" t="str">
        <f t="shared" si="145"/>
        <v/>
      </c>
    </row>
    <row r="1822" spans="2:14" x14ac:dyDescent="0.2">
      <c r="B1822" s="15"/>
      <c r="C1822" s="6"/>
      <c r="D1822" s="12"/>
      <c r="E1822" s="10" t="str">
        <f t="shared" si="141"/>
        <v/>
      </c>
      <c r="F1822" s="16"/>
      <c r="G1822" s="13"/>
      <c r="H1822" s="6"/>
      <c r="I1822" s="6"/>
      <c r="J1822" s="11" t="str">
        <f t="shared" si="142"/>
        <v/>
      </c>
      <c r="K1822" s="17" t="str">
        <f t="shared" si="143"/>
        <v/>
      </c>
      <c r="L1822" s="18" t="str">
        <f t="shared" si="144"/>
        <v/>
      </c>
      <c r="M1822" s="18" t="str">
        <f>IF(J1822&lt;&gt;-1,"",ROUND(F1822*IFERROR(INDEX(Stocuri!$G$5:$G$204,MATCH(D1822,Coduri,0)),0),2))</f>
        <v/>
      </c>
      <c r="N1822" s="19" t="str">
        <f t="shared" si="145"/>
        <v/>
      </c>
    </row>
    <row r="1823" spans="2:14" x14ac:dyDescent="0.2">
      <c r="B1823" s="15"/>
      <c r="C1823" s="6"/>
      <c r="D1823" s="12"/>
      <c r="E1823" s="10" t="str">
        <f t="shared" si="141"/>
        <v/>
      </c>
      <c r="F1823" s="16"/>
      <c r="G1823" s="13"/>
      <c r="H1823" s="6"/>
      <c r="I1823" s="6"/>
      <c r="J1823" s="11" t="str">
        <f t="shared" si="142"/>
        <v/>
      </c>
      <c r="K1823" s="17" t="str">
        <f t="shared" si="143"/>
        <v/>
      </c>
      <c r="L1823" s="18" t="str">
        <f t="shared" si="144"/>
        <v/>
      </c>
      <c r="M1823" s="18" t="str">
        <f>IF(J1823&lt;&gt;-1,"",ROUND(F1823*IFERROR(INDEX(Stocuri!$G$5:$G$204,MATCH(D1823,Coduri,0)),0),2))</f>
        <v/>
      </c>
      <c r="N1823" s="19" t="str">
        <f t="shared" si="145"/>
        <v/>
      </c>
    </row>
    <row r="1824" spans="2:14" x14ac:dyDescent="0.2">
      <c r="B1824" s="15"/>
      <c r="C1824" s="6"/>
      <c r="D1824" s="12"/>
      <c r="E1824" s="10" t="str">
        <f t="shared" si="141"/>
        <v/>
      </c>
      <c r="F1824" s="16"/>
      <c r="G1824" s="13"/>
      <c r="H1824" s="6"/>
      <c r="I1824" s="6"/>
      <c r="J1824" s="11" t="str">
        <f t="shared" si="142"/>
        <v/>
      </c>
      <c r="K1824" s="17" t="str">
        <f t="shared" si="143"/>
        <v/>
      </c>
      <c r="L1824" s="18" t="str">
        <f t="shared" si="144"/>
        <v/>
      </c>
      <c r="M1824" s="18" t="str">
        <f>IF(J1824&lt;&gt;-1,"",ROUND(F1824*IFERROR(INDEX(Stocuri!$G$5:$G$204,MATCH(D1824,Coduri,0)),0),2))</f>
        <v/>
      </c>
      <c r="N1824" s="19" t="str">
        <f t="shared" si="145"/>
        <v/>
      </c>
    </row>
    <row r="1825" spans="2:14" x14ac:dyDescent="0.2">
      <c r="B1825" s="15"/>
      <c r="C1825" s="6"/>
      <c r="D1825" s="12"/>
      <c r="E1825" s="10" t="str">
        <f t="shared" si="141"/>
        <v/>
      </c>
      <c r="F1825" s="16"/>
      <c r="G1825" s="13"/>
      <c r="H1825" s="6"/>
      <c r="I1825" s="6"/>
      <c r="J1825" s="11" t="str">
        <f t="shared" si="142"/>
        <v/>
      </c>
      <c r="K1825" s="17" t="str">
        <f t="shared" si="143"/>
        <v/>
      </c>
      <c r="L1825" s="18" t="str">
        <f t="shared" si="144"/>
        <v/>
      </c>
      <c r="M1825" s="18" t="str">
        <f>IF(J1825&lt;&gt;-1,"",ROUND(F1825*IFERROR(INDEX(Stocuri!$G$5:$G$204,MATCH(D1825,Coduri,0)),0),2))</f>
        <v/>
      </c>
      <c r="N1825" s="19" t="str">
        <f t="shared" si="145"/>
        <v/>
      </c>
    </row>
    <row r="1826" spans="2:14" x14ac:dyDescent="0.2">
      <c r="B1826" s="15"/>
      <c r="C1826" s="6"/>
      <c r="D1826" s="12"/>
      <c r="E1826" s="10" t="str">
        <f t="shared" si="141"/>
        <v/>
      </c>
      <c r="F1826" s="16"/>
      <c r="G1826" s="13"/>
      <c r="H1826" s="6"/>
      <c r="I1826" s="6"/>
      <c r="J1826" s="11" t="str">
        <f t="shared" si="142"/>
        <v/>
      </c>
      <c r="K1826" s="17" t="str">
        <f t="shared" si="143"/>
        <v/>
      </c>
      <c r="L1826" s="18" t="str">
        <f t="shared" si="144"/>
        <v/>
      </c>
      <c r="M1826" s="18" t="str">
        <f>IF(J1826&lt;&gt;-1,"",ROUND(F1826*IFERROR(INDEX(Stocuri!$G$5:$G$204,MATCH(D1826,Coduri,0)),0),2))</f>
        <v/>
      </c>
      <c r="N1826" s="19" t="str">
        <f t="shared" si="145"/>
        <v/>
      </c>
    </row>
    <row r="1827" spans="2:14" x14ac:dyDescent="0.2">
      <c r="B1827" s="15"/>
      <c r="C1827" s="6"/>
      <c r="D1827" s="12"/>
      <c r="E1827" s="10" t="str">
        <f t="shared" si="141"/>
        <v/>
      </c>
      <c r="F1827" s="16"/>
      <c r="G1827" s="13"/>
      <c r="H1827" s="6"/>
      <c r="I1827" s="6"/>
      <c r="J1827" s="11" t="str">
        <f t="shared" si="142"/>
        <v/>
      </c>
      <c r="K1827" s="17" t="str">
        <f t="shared" si="143"/>
        <v/>
      </c>
      <c r="L1827" s="18" t="str">
        <f t="shared" si="144"/>
        <v/>
      </c>
      <c r="M1827" s="18" t="str">
        <f>IF(J1827&lt;&gt;-1,"",ROUND(F1827*IFERROR(INDEX(Stocuri!$G$5:$G$204,MATCH(D1827,Coduri,0)),0),2))</f>
        <v/>
      </c>
      <c r="N1827" s="19" t="str">
        <f t="shared" si="145"/>
        <v/>
      </c>
    </row>
    <row r="1828" spans="2:14" x14ac:dyDescent="0.2">
      <c r="B1828" s="15"/>
      <c r="C1828" s="6"/>
      <c r="D1828" s="12"/>
      <c r="E1828" s="10" t="str">
        <f t="shared" si="141"/>
        <v/>
      </c>
      <c r="F1828" s="16"/>
      <c r="G1828" s="13"/>
      <c r="H1828" s="6"/>
      <c r="I1828" s="6"/>
      <c r="J1828" s="11" t="str">
        <f t="shared" si="142"/>
        <v/>
      </c>
      <c r="K1828" s="17" t="str">
        <f t="shared" si="143"/>
        <v/>
      </c>
      <c r="L1828" s="18" t="str">
        <f t="shared" si="144"/>
        <v/>
      </c>
      <c r="M1828" s="18" t="str">
        <f>IF(J1828&lt;&gt;-1,"",ROUND(F1828*IFERROR(INDEX(Stocuri!$G$5:$G$204,MATCH(D1828,Coduri,0)),0),2))</f>
        <v/>
      </c>
      <c r="N1828" s="19" t="str">
        <f t="shared" si="145"/>
        <v/>
      </c>
    </row>
    <row r="1829" spans="2:14" x14ac:dyDescent="0.2">
      <c r="B1829" s="15"/>
      <c r="C1829" s="6"/>
      <c r="D1829" s="12"/>
      <c r="E1829" s="10" t="str">
        <f t="shared" si="141"/>
        <v/>
      </c>
      <c r="F1829" s="16"/>
      <c r="G1829" s="13"/>
      <c r="H1829" s="6"/>
      <c r="I1829" s="6"/>
      <c r="J1829" s="11" t="str">
        <f t="shared" si="142"/>
        <v/>
      </c>
      <c r="K1829" s="17" t="str">
        <f t="shared" si="143"/>
        <v/>
      </c>
      <c r="L1829" s="18" t="str">
        <f t="shared" si="144"/>
        <v/>
      </c>
      <c r="M1829" s="18" t="str">
        <f>IF(J1829&lt;&gt;-1,"",ROUND(F1829*IFERROR(INDEX(Stocuri!$G$5:$G$204,MATCH(D1829,Coduri,0)),0),2))</f>
        <v/>
      </c>
      <c r="N1829" s="19" t="str">
        <f t="shared" si="145"/>
        <v/>
      </c>
    </row>
    <row r="1830" spans="2:14" x14ac:dyDescent="0.2">
      <c r="B1830" s="15"/>
      <c r="C1830" s="6"/>
      <c r="D1830" s="12"/>
      <c r="E1830" s="10" t="str">
        <f t="shared" si="141"/>
        <v/>
      </c>
      <c r="F1830" s="16"/>
      <c r="G1830" s="13"/>
      <c r="H1830" s="6"/>
      <c r="I1830" s="6"/>
      <c r="J1830" s="11" t="str">
        <f t="shared" si="142"/>
        <v/>
      </c>
      <c r="K1830" s="17" t="str">
        <f t="shared" si="143"/>
        <v/>
      </c>
      <c r="L1830" s="18" t="str">
        <f t="shared" si="144"/>
        <v/>
      </c>
      <c r="M1830" s="18" t="str">
        <f>IF(J1830&lt;&gt;-1,"",ROUND(F1830*IFERROR(INDEX(Stocuri!$G$5:$G$204,MATCH(D1830,Coduri,0)),0),2))</f>
        <v/>
      </c>
      <c r="N1830" s="19" t="str">
        <f t="shared" si="145"/>
        <v/>
      </c>
    </row>
    <row r="1831" spans="2:14" x14ac:dyDescent="0.2">
      <c r="B1831" s="15"/>
      <c r="C1831" s="6"/>
      <c r="D1831" s="12"/>
      <c r="E1831" s="10" t="str">
        <f t="shared" si="141"/>
        <v/>
      </c>
      <c r="F1831" s="16"/>
      <c r="G1831" s="13"/>
      <c r="H1831" s="6"/>
      <c r="I1831" s="6"/>
      <c r="J1831" s="11" t="str">
        <f t="shared" si="142"/>
        <v/>
      </c>
      <c r="K1831" s="17" t="str">
        <f t="shared" si="143"/>
        <v/>
      </c>
      <c r="L1831" s="18" t="str">
        <f t="shared" si="144"/>
        <v/>
      </c>
      <c r="M1831" s="18" t="str">
        <f>IF(J1831&lt;&gt;-1,"",ROUND(F1831*IFERROR(INDEX(Stocuri!$G$5:$G$204,MATCH(D1831,Coduri,0)),0),2))</f>
        <v/>
      </c>
      <c r="N1831" s="19" t="str">
        <f t="shared" si="145"/>
        <v/>
      </c>
    </row>
    <row r="1832" spans="2:14" x14ac:dyDescent="0.2">
      <c r="B1832" s="15"/>
      <c r="C1832" s="6"/>
      <c r="D1832" s="12"/>
      <c r="E1832" s="10" t="str">
        <f t="shared" si="141"/>
        <v/>
      </c>
      <c r="F1832" s="16"/>
      <c r="G1832" s="13"/>
      <c r="H1832" s="6"/>
      <c r="I1832" s="6"/>
      <c r="J1832" s="11" t="str">
        <f t="shared" si="142"/>
        <v/>
      </c>
      <c r="K1832" s="17" t="str">
        <f t="shared" si="143"/>
        <v/>
      </c>
      <c r="L1832" s="18" t="str">
        <f t="shared" si="144"/>
        <v/>
      </c>
      <c r="M1832" s="18" t="str">
        <f>IF(J1832&lt;&gt;-1,"",ROUND(F1832*IFERROR(INDEX(Stocuri!$G$5:$G$204,MATCH(D1832,Coduri,0)),0),2))</f>
        <v/>
      </c>
      <c r="N1832" s="19" t="str">
        <f t="shared" si="145"/>
        <v/>
      </c>
    </row>
    <row r="1833" spans="2:14" x14ac:dyDescent="0.2">
      <c r="B1833" s="15"/>
      <c r="C1833" s="6"/>
      <c r="D1833" s="12"/>
      <c r="E1833" s="10" t="str">
        <f t="shared" si="141"/>
        <v/>
      </c>
      <c r="F1833" s="16"/>
      <c r="G1833" s="13"/>
      <c r="H1833" s="6"/>
      <c r="I1833" s="6"/>
      <c r="J1833" s="11" t="str">
        <f t="shared" si="142"/>
        <v/>
      </c>
      <c r="K1833" s="17" t="str">
        <f t="shared" si="143"/>
        <v/>
      </c>
      <c r="L1833" s="18" t="str">
        <f t="shared" si="144"/>
        <v/>
      </c>
      <c r="M1833" s="18" t="str">
        <f>IF(J1833&lt;&gt;-1,"",ROUND(F1833*IFERROR(INDEX(Stocuri!$G$5:$G$204,MATCH(D1833,Coduri,0)),0),2))</f>
        <v/>
      </c>
      <c r="N1833" s="19" t="str">
        <f t="shared" si="145"/>
        <v/>
      </c>
    </row>
    <row r="1834" spans="2:14" x14ac:dyDescent="0.2">
      <c r="B1834" s="15"/>
      <c r="C1834" s="6"/>
      <c r="D1834" s="12"/>
      <c r="E1834" s="10" t="str">
        <f t="shared" si="141"/>
        <v/>
      </c>
      <c r="F1834" s="16"/>
      <c r="G1834" s="13"/>
      <c r="H1834" s="6"/>
      <c r="I1834" s="6"/>
      <c r="J1834" s="11" t="str">
        <f t="shared" si="142"/>
        <v/>
      </c>
      <c r="K1834" s="17" t="str">
        <f t="shared" si="143"/>
        <v/>
      </c>
      <c r="L1834" s="18" t="str">
        <f t="shared" si="144"/>
        <v/>
      </c>
      <c r="M1834" s="18" t="str">
        <f>IF(J1834&lt;&gt;-1,"",ROUND(F1834*IFERROR(INDEX(Stocuri!$G$5:$G$204,MATCH(D1834,Coduri,0)),0),2))</f>
        <v/>
      </c>
      <c r="N1834" s="19" t="str">
        <f t="shared" si="145"/>
        <v/>
      </c>
    </row>
    <row r="1835" spans="2:14" x14ac:dyDescent="0.2">
      <c r="B1835" s="15"/>
      <c r="C1835" s="6"/>
      <c r="D1835" s="12"/>
      <c r="E1835" s="10" t="str">
        <f t="shared" si="141"/>
        <v/>
      </c>
      <c r="F1835" s="16"/>
      <c r="G1835" s="13"/>
      <c r="H1835" s="6"/>
      <c r="I1835" s="6"/>
      <c r="J1835" s="11" t="str">
        <f t="shared" si="142"/>
        <v/>
      </c>
      <c r="K1835" s="17" t="str">
        <f t="shared" si="143"/>
        <v/>
      </c>
      <c r="L1835" s="18" t="str">
        <f t="shared" si="144"/>
        <v/>
      </c>
      <c r="M1835" s="18" t="str">
        <f>IF(J1835&lt;&gt;-1,"",ROUND(F1835*IFERROR(INDEX(Stocuri!$G$5:$G$204,MATCH(D1835,Coduri,0)),0),2))</f>
        <v/>
      </c>
      <c r="N1835" s="19" t="str">
        <f t="shared" si="145"/>
        <v/>
      </c>
    </row>
    <row r="1836" spans="2:14" x14ac:dyDescent="0.2">
      <c r="B1836" s="15"/>
      <c r="C1836" s="6"/>
      <c r="D1836" s="12"/>
      <c r="E1836" s="10" t="str">
        <f t="shared" si="141"/>
        <v/>
      </c>
      <c r="F1836" s="16"/>
      <c r="G1836" s="13"/>
      <c r="H1836" s="6"/>
      <c r="I1836" s="6"/>
      <c r="J1836" s="11" t="str">
        <f t="shared" si="142"/>
        <v/>
      </c>
      <c r="K1836" s="17" t="str">
        <f t="shared" si="143"/>
        <v/>
      </c>
      <c r="L1836" s="18" t="str">
        <f t="shared" si="144"/>
        <v/>
      </c>
      <c r="M1836" s="18" t="str">
        <f>IF(J1836&lt;&gt;-1,"",ROUND(F1836*IFERROR(INDEX(Stocuri!$G$5:$G$204,MATCH(D1836,Coduri,0)),0),2))</f>
        <v/>
      </c>
      <c r="N1836" s="19" t="str">
        <f t="shared" si="145"/>
        <v/>
      </c>
    </row>
    <row r="1837" spans="2:14" x14ac:dyDescent="0.2">
      <c r="B1837" s="15"/>
      <c r="C1837" s="6"/>
      <c r="D1837" s="12"/>
      <c r="E1837" s="10" t="str">
        <f t="shared" si="141"/>
        <v/>
      </c>
      <c r="F1837" s="16"/>
      <c r="G1837" s="13"/>
      <c r="H1837" s="6"/>
      <c r="I1837" s="6"/>
      <c r="J1837" s="11" t="str">
        <f t="shared" si="142"/>
        <v/>
      </c>
      <c r="K1837" s="17" t="str">
        <f t="shared" si="143"/>
        <v/>
      </c>
      <c r="L1837" s="18" t="str">
        <f t="shared" si="144"/>
        <v/>
      </c>
      <c r="M1837" s="18" t="str">
        <f>IF(J1837&lt;&gt;-1,"",ROUND(F1837*IFERROR(INDEX(Stocuri!$G$5:$G$204,MATCH(D1837,Coduri,0)),0),2))</f>
        <v/>
      </c>
      <c r="N1837" s="19" t="str">
        <f t="shared" si="145"/>
        <v/>
      </c>
    </row>
    <row r="1838" spans="2:14" x14ac:dyDescent="0.2">
      <c r="B1838" s="15"/>
      <c r="C1838" s="6"/>
      <c r="D1838" s="12"/>
      <c r="E1838" s="10" t="str">
        <f t="shared" si="141"/>
        <v/>
      </c>
      <c r="F1838" s="16"/>
      <c r="G1838" s="13"/>
      <c r="H1838" s="6"/>
      <c r="I1838" s="6"/>
      <c r="J1838" s="11" t="str">
        <f t="shared" si="142"/>
        <v/>
      </c>
      <c r="K1838" s="17" t="str">
        <f t="shared" si="143"/>
        <v/>
      </c>
      <c r="L1838" s="18" t="str">
        <f t="shared" si="144"/>
        <v/>
      </c>
      <c r="M1838" s="18" t="str">
        <f>IF(J1838&lt;&gt;-1,"",ROUND(F1838*IFERROR(INDEX(Stocuri!$G$5:$G$204,MATCH(D1838,Coduri,0)),0),2))</f>
        <v/>
      </c>
      <c r="N1838" s="19" t="str">
        <f t="shared" si="145"/>
        <v/>
      </c>
    </row>
    <row r="1839" spans="2:14" x14ac:dyDescent="0.2">
      <c r="B1839" s="15"/>
      <c r="C1839" s="6"/>
      <c r="D1839" s="12"/>
      <c r="E1839" s="10" t="str">
        <f t="shared" si="141"/>
        <v/>
      </c>
      <c r="F1839" s="16"/>
      <c r="G1839" s="13"/>
      <c r="H1839" s="6"/>
      <c r="I1839" s="6"/>
      <c r="J1839" s="11" t="str">
        <f t="shared" si="142"/>
        <v/>
      </c>
      <c r="K1839" s="17" t="str">
        <f t="shared" si="143"/>
        <v/>
      </c>
      <c r="L1839" s="18" t="str">
        <f t="shared" si="144"/>
        <v/>
      </c>
      <c r="M1839" s="18" t="str">
        <f>IF(J1839&lt;&gt;-1,"",ROUND(F1839*IFERROR(INDEX(Stocuri!$G$5:$G$204,MATCH(D1839,Coduri,0)),0),2))</f>
        <v/>
      </c>
      <c r="N1839" s="19" t="str">
        <f t="shared" si="145"/>
        <v/>
      </c>
    </row>
    <row r="1840" spans="2:14" x14ac:dyDescent="0.2">
      <c r="B1840" s="15"/>
      <c r="C1840" s="6"/>
      <c r="D1840" s="12"/>
      <c r="E1840" s="10" t="str">
        <f t="shared" si="141"/>
        <v/>
      </c>
      <c r="F1840" s="16"/>
      <c r="G1840" s="13"/>
      <c r="H1840" s="6"/>
      <c r="I1840" s="6"/>
      <c r="J1840" s="11" t="str">
        <f t="shared" si="142"/>
        <v/>
      </c>
      <c r="K1840" s="17" t="str">
        <f t="shared" si="143"/>
        <v/>
      </c>
      <c r="L1840" s="18" t="str">
        <f t="shared" si="144"/>
        <v/>
      </c>
      <c r="M1840" s="18" t="str">
        <f>IF(J1840&lt;&gt;-1,"",ROUND(F1840*IFERROR(INDEX(Stocuri!$G$5:$G$204,MATCH(D1840,Coduri,0)),0),2))</f>
        <v/>
      </c>
      <c r="N1840" s="19" t="str">
        <f t="shared" si="145"/>
        <v/>
      </c>
    </row>
    <row r="1841" spans="2:14" x14ac:dyDescent="0.2">
      <c r="B1841" s="15"/>
      <c r="C1841" s="6"/>
      <c r="D1841" s="12"/>
      <c r="E1841" s="10" t="str">
        <f t="shared" si="141"/>
        <v/>
      </c>
      <c r="F1841" s="16"/>
      <c r="G1841" s="13"/>
      <c r="H1841" s="6"/>
      <c r="I1841" s="6"/>
      <c r="J1841" s="11" t="str">
        <f t="shared" si="142"/>
        <v/>
      </c>
      <c r="K1841" s="17" t="str">
        <f t="shared" si="143"/>
        <v/>
      </c>
      <c r="L1841" s="18" t="str">
        <f t="shared" si="144"/>
        <v/>
      </c>
      <c r="M1841" s="18" t="str">
        <f>IF(J1841&lt;&gt;-1,"",ROUND(F1841*IFERROR(INDEX(Stocuri!$G$5:$G$204,MATCH(D1841,Coduri,0)),0),2))</f>
        <v/>
      </c>
      <c r="N1841" s="19" t="str">
        <f t="shared" si="145"/>
        <v/>
      </c>
    </row>
    <row r="1842" spans="2:14" x14ac:dyDescent="0.2">
      <c r="B1842" s="15"/>
      <c r="C1842" s="6"/>
      <c r="D1842" s="12"/>
      <c r="E1842" s="10" t="str">
        <f t="shared" si="141"/>
        <v/>
      </c>
      <c r="F1842" s="16"/>
      <c r="G1842" s="13"/>
      <c r="H1842" s="6"/>
      <c r="I1842" s="6"/>
      <c r="J1842" s="11" t="str">
        <f t="shared" si="142"/>
        <v/>
      </c>
      <c r="K1842" s="17" t="str">
        <f t="shared" si="143"/>
        <v/>
      </c>
      <c r="L1842" s="18" t="str">
        <f t="shared" si="144"/>
        <v/>
      </c>
      <c r="M1842" s="18" t="str">
        <f>IF(J1842&lt;&gt;-1,"",ROUND(F1842*IFERROR(INDEX(Stocuri!$G$5:$G$204,MATCH(D1842,Coduri,0)),0),2))</f>
        <v/>
      </c>
      <c r="N1842" s="19" t="str">
        <f t="shared" si="145"/>
        <v/>
      </c>
    </row>
    <row r="1843" spans="2:14" x14ac:dyDescent="0.2">
      <c r="B1843" s="15"/>
      <c r="C1843" s="6"/>
      <c r="D1843" s="12"/>
      <c r="E1843" s="10" t="str">
        <f t="shared" si="141"/>
        <v/>
      </c>
      <c r="F1843" s="16"/>
      <c r="G1843" s="13"/>
      <c r="H1843" s="6"/>
      <c r="I1843" s="6"/>
      <c r="J1843" s="11" t="str">
        <f t="shared" si="142"/>
        <v/>
      </c>
      <c r="K1843" s="17" t="str">
        <f t="shared" si="143"/>
        <v/>
      </c>
      <c r="L1843" s="18" t="str">
        <f t="shared" si="144"/>
        <v/>
      </c>
      <c r="M1843" s="18" t="str">
        <f>IF(J1843&lt;&gt;-1,"",ROUND(F1843*IFERROR(INDEX(Stocuri!$G$5:$G$204,MATCH(D1843,Coduri,0)),0),2))</f>
        <v/>
      </c>
      <c r="N1843" s="19" t="str">
        <f t="shared" si="145"/>
        <v/>
      </c>
    </row>
    <row r="1844" spans="2:14" x14ac:dyDescent="0.2">
      <c r="B1844" s="15"/>
      <c r="C1844" s="6"/>
      <c r="D1844" s="12"/>
      <c r="E1844" s="10" t="str">
        <f t="shared" si="141"/>
        <v/>
      </c>
      <c r="F1844" s="16"/>
      <c r="G1844" s="13"/>
      <c r="H1844" s="6"/>
      <c r="I1844" s="6"/>
      <c r="J1844" s="11" t="str">
        <f t="shared" si="142"/>
        <v/>
      </c>
      <c r="K1844" s="17" t="str">
        <f t="shared" si="143"/>
        <v/>
      </c>
      <c r="L1844" s="18" t="str">
        <f t="shared" si="144"/>
        <v/>
      </c>
      <c r="M1844" s="18" t="str">
        <f>IF(J1844&lt;&gt;-1,"",ROUND(F1844*IFERROR(INDEX(Stocuri!$G$5:$G$204,MATCH(D1844,Coduri,0)),0),2))</f>
        <v/>
      </c>
      <c r="N1844" s="19" t="str">
        <f t="shared" si="145"/>
        <v/>
      </c>
    </row>
    <row r="1845" spans="2:14" x14ac:dyDescent="0.2">
      <c r="B1845" s="15"/>
      <c r="C1845" s="6"/>
      <c r="D1845" s="12"/>
      <c r="E1845" s="10" t="str">
        <f t="shared" si="141"/>
        <v/>
      </c>
      <c r="F1845" s="16"/>
      <c r="G1845" s="13"/>
      <c r="H1845" s="6"/>
      <c r="I1845" s="6"/>
      <c r="J1845" s="11" t="str">
        <f t="shared" si="142"/>
        <v/>
      </c>
      <c r="K1845" s="17" t="str">
        <f t="shared" si="143"/>
        <v/>
      </c>
      <c r="L1845" s="18" t="str">
        <f t="shared" si="144"/>
        <v/>
      </c>
      <c r="M1845" s="18" t="str">
        <f>IF(J1845&lt;&gt;-1,"",ROUND(F1845*IFERROR(INDEX(Stocuri!$G$5:$G$204,MATCH(D1845,Coduri,0)),0),2))</f>
        <v/>
      </c>
      <c r="N1845" s="19" t="str">
        <f t="shared" si="145"/>
        <v/>
      </c>
    </row>
    <row r="1846" spans="2:14" x14ac:dyDescent="0.2">
      <c r="B1846" s="15"/>
      <c r="C1846" s="6"/>
      <c r="D1846" s="12"/>
      <c r="E1846" s="10" t="str">
        <f t="shared" si="141"/>
        <v/>
      </c>
      <c r="F1846" s="16"/>
      <c r="G1846" s="13"/>
      <c r="H1846" s="6"/>
      <c r="I1846" s="6"/>
      <c r="J1846" s="11" t="str">
        <f t="shared" si="142"/>
        <v/>
      </c>
      <c r="K1846" s="17" t="str">
        <f t="shared" si="143"/>
        <v/>
      </c>
      <c r="L1846" s="18" t="str">
        <f t="shared" si="144"/>
        <v/>
      </c>
      <c r="M1846" s="18" t="str">
        <f>IF(J1846&lt;&gt;-1,"",ROUND(F1846*IFERROR(INDEX(Stocuri!$G$5:$G$204,MATCH(D1846,Coduri,0)),0),2))</f>
        <v/>
      </c>
      <c r="N1846" s="19" t="str">
        <f t="shared" si="145"/>
        <v/>
      </c>
    </row>
    <row r="1847" spans="2:14" x14ac:dyDescent="0.2">
      <c r="B1847" s="15"/>
      <c r="C1847" s="6"/>
      <c r="D1847" s="12"/>
      <c r="E1847" s="10" t="str">
        <f t="shared" si="141"/>
        <v/>
      </c>
      <c r="F1847" s="16"/>
      <c r="G1847" s="13"/>
      <c r="H1847" s="6"/>
      <c r="I1847" s="6"/>
      <c r="J1847" s="11" t="str">
        <f t="shared" si="142"/>
        <v/>
      </c>
      <c r="K1847" s="17" t="str">
        <f t="shared" si="143"/>
        <v/>
      </c>
      <c r="L1847" s="18" t="str">
        <f t="shared" si="144"/>
        <v/>
      </c>
      <c r="M1847" s="18" t="str">
        <f>IF(J1847&lt;&gt;-1,"",ROUND(F1847*IFERROR(INDEX(Stocuri!$G$5:$G$204,MATCH(D1847,Coduri,0)),0),2))</f>
        <v/>
      </c>
      <c r="N1847" s="19" t="str">
        <f t="shared" si="145"/>
        <v/>
      </c>
    </row>
    <row r="1848" spans="2:14" x14ac:dyDescent="0.2">
      <c r="B1848" s="15"/>
      <c r="C1848" s="6"/>
      <c r="D1848" s="12"/>
      <c r="E1848" s="10" t="str">
        <f t="shared" si="141"/>
        <v/>
      </c>
      <c r="F1848" s="16"/>
      <c r="G1848" s="13"/>
      <c r="H1848" s="6"/>
      <c r="I1848" s="6"/>
      <c r="J1848" s="11" t="str">
        <f t="shared" si="142"/>
        <v/>
      </c>
      <c r="K1848" s="17" t="str">
        <f t="shared" si="143"/>
        <v/>
      </c>
      <c r="L1848" s="18" t="str">
        <f t="shared" si="144"/>
        <v/>
      </c>
      <c r="M1848" s="18" t="str">
        <f>IF(J1848&lt;&gt;-1,"",ROUND(F1848*IFERROR(INDEX(Stocuri!$G$5:$G$204,MATCH(D1848,Coduri,0)),0),2))</f>
        <v/>
      </c>
      <c r="N1848" s="19" t="str">
        <f t="shared" si="145"/>
        <v/>
      </c>
    </row>
    <row r="1849" spans="2:14" x14ac:dyDescent="0.2">
      <c r="B1849" s="15"/>
      <c r="C1849" s="6"/>
      <c r="D1849" s="12"/>
      <c r="E1849" s="10" t="str">
        <f t="shared" si="141"/>
        <v/>
      </c>
      <c r="F1849" s="16"/>
      <c r="G1849" s="13"/>
      <c r="H1849" s="6"/>
      <c r="I1849" s="6"/>
      <c r="J1849" s="11" t="str">
        <f t="shared" si="142"/>
        <v/>
      </c>
      <c r="K1849" s="17" t="str">
        <f t="shared" si="143"/>
        <v/>
      </c>
      <c r="L1849" s="18" t="str">
        <f t="shared" si="144"/>
        <v/>
      </c>
      <c r="M1849" s="18" t="str">
        <f>IF(J1849&lt;&gt;-1,"",ROUND(F1849*IFERROR(INDEX(Stocuri!$G$5:$G$204,MATCH(D1849,Coduri,0)),0),2))</f>
        <v/>
      </c>
      <c r="N1849" s="19" t="str">
        <f t="shared" si="145"/>
        <v/>
      </c>
    </row>
    <row r="1850" spans="2:14" x14ac:dyDescent="0.2">
      <c r="B1850" s="15"/>
      <c r="C1850" s="6"/>
      <c r="D1850" s="12"/>
      <c r="E1850" s="10" t="str">
        <f t="shared" si="141"/>
        <v/>
      </c>
      <c r="F1850" s="16"/>
      <c r="G1850" s="13"/>
      <c r="H1850" s="6"/>
      <c r="I1850" s="6"/>
      <c r="J1850" s="11" t="str">
        <f t="shared" si="142"/>
        <v/>
      </c>
      <c r="K1850" s="17" t="str">
        <f t="shared" si="143"/>
        <v/>
      </c>
      <c r="L1850" s="18" t="str">
        <f t="shared" si="144"/>
        <v/>
      </c>
      <c r="M1850" s="18" t="str">
        <f>IF(J1850&lt;&gt;-1,"",ROUND(F1850*IFERROR(INDEX(Stocuri!$G$5:$G$204,MATCH(D1850,Coduri,0)),0),2))</f>
        <v/>
      </c>
      <c r="N1850" s="19" t="str">
        <f t="shared" si="145"/>
        <v/>
      </c>
    </row>
    <row r="1851" spans="2:14" x14ac:dyDescent="0.2">
      <c r="B1851" s="15"/>
      <c r="C1851" s="6"/>
      <c r="D1851" s="12"/>
      <c r="E1851" s="10" t="str">
        <f t="shared" si="141"/>
        <v/>
      </c>
      <c r="F1851" s="16"/>
      <c r="G1851" s="13"/>
      <c r="H1851" s="6"/>
      <c r="I1851" s="6"/>
      <c r="J1851" s="11" t="str">
        <f t="shared" si="142"/>
        <v/>
      </c>
      <c r="K1851" s="17" t="str">
        <f t="shared" si="143"/>
        <v/>
      </c>
      <c r="L1851" s="18" t="str">
        <f t="shared" si="144"/>
        <v/>
      </c>
      <c r="M1851" s="18" t="str">
        <f>IF(J1851&lt;&gt;-1,"",ROUND(F1851*IFERROR(INDEX(Stocuri!$G$5:$G$204,MATCH(D1851,Coduri,0)),0),2))</f>
        <v/>
      </c>
      <c r="N1851" s="19" t="str">
        <f t="shared" si="145"/>
        <v/>
      </c>
    </row>
    <row r="1852" spans="2:14" x14ac:dyDescent="0.2">
      <c r="B1852" s="15"/>
      <c r="C1852" s="6"/>
      <c r="D1852" s="12"/>
      <c r="E1852" s="10" t="str">
        <f t="shared" si="141"/>
        <v/>
      </c>
      <c r="F1852" s="16"/>
      <c r="G1852" s="13"/>
      <c r="H1852" s="6"/>
      <c r="I1852" s="6"/>
      <c r="J1852" s="11" t="str">
        <f t="shared" si="142"/>
        <v/>
      </c>
      <c r="K1852" s="17" t="str">
        <f t="shared" si="143"/>
        <v/>
      </c>
      <c r="L1852" s="18" t="str">
        <f t="shared" si="144"/>
        <v/>
      </c>
      <c r="M1852" s="18" t="str">
        <f>IF(J1852&lt;&gt;-1,"",ROUND(F1852*IFERROR(INDEX(Stocuri!$G$5:$G$204,MATCH(D1852,Coduri,0)),0),2))</f>
        <v/>
      </c>
      <c r="N1852" s="19" t="str">
        <f t="shared" si="145"/>
        <v/>
      </c>
    </row>
    <row r="1853" spans="2:14" x14ac:dyDescent="0.2">
      <c r="B1853" s="15"/>
      <c r="C1853" s="6"/>
      <c r="D1853" s="12"/>
      <c r="E1853" s="10" t="str">
        <f t="shared" si="141"/>
        <v/>
      </c>
      <c r="F1853" s="16"/>
      <c r="G1853" s="13"/>
      <c r="H1853" s="6"/>
      <c r="I1853" s="6"/>
      <c r="J1853" s="11" t="str">
        <f t="shared" si="142"/>
        <v/>
      </c>
      <c r="K1853" s="17" t="str">
        <f t="shared" si="143"/>
        <v/>
      </c>
      <c r="L1853" s="18" t="str">
        <f t="shared" si="144"/>
        <v/>
      </c>
      <c r="M1853" s="18" t="str">
        <f>IF(J1853&lt;&gt;-1,"",ROUND(F1853*IFERROR(INDEX(Stocuri!$G$5:$G$204,MATCH(D1853,Coduri,0)),0),2))</f>
        <v/>
      </c>
      <c r="N1853" s="19" t="str">
        <f t="shared" si="145"/>
        <v/>
      </c>
    </row>
    <row r="1854" spans="2:14" x14ac:dyDescent="0.2">
      <c r="B1854" s="15"/>
      <c r="C1854" s="6"/>
      <c r="D1854" s="12"/>
      <c r="E1854" s="10" t="str">
        <f t="shared" si="141"/>
        <v/>
      </c>
      <c r="F1854" s="16"/>
      <c r="G1854" s="13"/>
      <c r="H1854" s="6"/>
      <c r="I1854" s="6"/>
      <c r="J1854" s="11" t="str">
        <f t="shared" si="142"/>
        <v/>
      </c>
      <c r="K1854" s="17" t="str">
        <f t="shared" si="143"/>
        <v/>
      </c>
      <c r="L1854" s="18" t="str">
        <f t="shared" si="144"/>
        <v/>
      </c>
      <c r="M1854" s="18" t="str">
        <f>IF(J1854&lt;&gt;-1,"",ROUND(F1854*IFERROR(INDEX(Stocuri!$G$5:$G$204,MATCH(D1854,Coduri,0)),0),2))</f>
        <v/>
      </c>
      <c r="N1854" s="19" t="str">
        <f t="shared" si="145"/>
        <v/>
      </c>
    </row>
    <row r="1855" spans="2:14" x14ac:dyDescent="0.2">
      <c r="B1855" s="15"/>
      <c r="C1855" s="6"/>
      <c r="D1855" s="12"/>
      <c r="E1855" s="10" t="str">
        <f t="shared" si="141"/>
        <v/>
      </c>
      <c r="F1855" s="16"/>
      <c r="G1855" s="13"/>
      <c r="H1855" s="6"/>
      <c r="I1855" s="6"/>
      <c r="J1855" s="11" t="str">
        <f t="shared" si="142"/>
        <v/>
      </c>
      <c r="K1855" s="17" t="str">
        <f t="shared" si="143"/>
        <v/>
      </c>
      <c r="L1855" s="18" t="str">
        <f t="shared" si="144"/>
        <v/>
      </c>
      <c r="M1855" s="18" t="str">
        <f>IF(J1855&lt;&gt;-1,"",ROUND(F1855*IFERROR(INDEX(Stocuri!$G$5:$G$204,MATCH(D1855,Coduri,0)),0),2))</f>
        <v/>
      </c>
      <c r="N1855" s="19" t="str">
        <f t="shared" si="145"/>
        <v/>
      </c>
    </row>
    <row r="1856" spans="2:14" x14ac:dyDescent="0.2">
      <c r="B1856" s="15"/>
      <c r="C1856" s="6"/>
      <c r="D1856" s="12"/>
      <c r="E1856" s="10" t="str">
        <f t="shared" si="141"/>
        <v/>
      </c>
      <c r="F1856" s="16"/>
      <c r="G1856" s="13"/>
      <c r="H1856" s="6"/>
      <c r="I1856" s="6"/>
      <c r="J1856" s="11" t="str">
        <f t="shared" si="142"/>
        <v/>
      </c>
      <c r="K1856" s="17" t="str">
        <f t="shared" si="143"/>
        <v/>
      </c>
      <c r="L1856" s="18" t="str">
        <f t="shared" si="144"/>
        <v/>
      </c>
      <c r="M1856" s="18" t="str">
        <f>IF(J1856&lt;&gt;-1,"",ROUND(F1856*IFERROR(INDEX(Stocuri!$G$5:$G$204,MATCH(D1856,Coduri,0)),0),2))</f>
        <v/>
      </c>
      <c r="N1856" s="19" t="str">
        <f t="shared" si="145"/>
        <v/>
      </c>
    </row>
    <row r="1857" spans="2:14" x14ac:dyDescent="0.2">
      <c r="B1857" s="15"/>
      <c r="C1857" s="6"/>
      <c r="D1857" s="12"/>
      <c r="E1857" s="10" t="str">
        <f t="shared" si="141"/>
        <v/>
      </c>
      <c r="F1857" s="16"/>
      <c r="G1857" s="13"/>
      <c r="H1857" s="6"/>
      <c r="I1857" s="6"/>
      <c r="J1857" s="11" t="str">
        <f t="shared" si="142"/>
        <v/>
      </c>
      <c r="K1857" s="17" t="str">
        <f t="shared" si="143"/>
        <v/>
      </c>
      <c r="L1857" s="18" t="str">
        <f t="shared" si="144"/>
        <v/>
      </c>
      <c r="M1857" s="18" t="str">
        <f>IF(J1857&lt;&gt;-1,"",ROUND(F1857*IFERROR(INDEX(Stocuri!$G$5:$G$204,MATCH(D1857,Coduri,0)),0),2))</f>
        <v/>
      </c>
      <c r="N1857" s="19" t="str">
        <f t="shared" si="145"/>
        <v/>
      </c>
    </row>
    <row r="1858" spans="2:14" x14ac:dyDescent="0.2">
      <c r="B1858" s="15"/>
      <c r="C1858" s="6"/>
      <c r="D1858" s="12"/>
      <c r="E1858" s="10" t="str">
        <f t="shared" si="141"/>
        <v/>
      </c>
      <c r="F1858" s="16"/>
      <c r="G1858" s="13"/>
      <c r="H1858" s="6"/>
      <c r="I1858" s="6"/>
      <c r="J1858" s="11" t="str">
        <f t="shared" si="142"/>
        <v/>
      </c>
      <c r="K1858" s="17" t="str">
        <f t="shared" si="143"/>
        <v/>
      </c>
      <c r="L1858" s="18" t="str">
        <f t="shared" si="144"/>
        <v/>
      </c>
      <c r="M1858" s="18" t="str">
        <f>IF(J1858&lt;&gt;-1,"",ROUND(F1858*IFERROR(INDEX(Stocuri!$G$5:$G$204,MATCH(D1858,Coduri,0)),0),2))</f>
        <v/>
      </c>
      <c r="N1858" s="19" t="str">
        <f t="shared" si="145"/>
        <v/>
      </c>
    </row>
    <row r="1859" spans="2:14" x14ac:dyDescent="0.2">
      <c r="B1859" s="15"/>
      <c r="C1859" s="6"/>
      <c r="D1859" s="12"/>
      <c r="E1859" s="10" t="str">
        <f t="shared" si="141"/>
        <v/>
      </c>
      <c r="F1859" s="16"/>
      <c r="G1859" s="13"/>
      <c r="H1859" s="6"/>
      <c r="I1859" s="6"/>
      <c r="J1859" s="11" t="str">
        <f t="shared" si="142"/>
        <v/>
      </c>
      <c r="K1859" s="17" t="str">
        <f t="shared" si="143"/>
        <v/>
      </c>
      <c r="L1859" s="18" t="str">
        <f t="shared" si="144"/>
        <v/>
      </c>
      <c r="M1859" s="18" t="str">
        <f>IF(J1859&lt;&gt;-1,"",ROUND(F1859*IFERROR(INDEX(Stocuri!$G$5:$G$204,MATCH(D1859,Coduri,0)),0),2))</f>
        <v/>
      </c>
      <c r="N1859" s="19" t="str">
        <f t="shared" si="145"/>
        <v/>
      </c>
    </row>
    <row r="1860" spans="2:14" x14ac:dyDescent="0.2">
      <c r="B1860" s="15"/>
      <c r="C1860" s="6"/>
      <c r="D1860" s="12"/>
      <c r="E1860" s="10" t="str">
        <f t="shared" si="141"/>
        <v/>
      </c>
      <c r="F1860" s="16"/>
      <c r="G1860" s="13"/>
      <c r="H1860" s="6"/>
      <c r="I1860" s="6"/>
      <c r="J1860" s="11" t="str">
        <f t="shared" si="142"/>
        <v/>
      </c>
      <c r="K1860" s="17" t="str">
        <f t="shared" si="143"/>
        <v/>
      </c>
      <c r="L1860" s="18" t="str">
        <f t="shared" si="144"/>
        <v/>
      </c>
      <c r="M1860" s="18" t="str">
        <f>IF(J1860&lt;&gt;-1,"",ROUND(F1860*IFERROR(INDEX(Stocuri!$G$5:$G$204,MATCH(D1860,Coduri,0)),0),2))</f>
        <v/>
      </c>
      <c r="N1860" s="19" t="str">
        <f t="shared" si="145"/>
        <v/>
      </c>
    </row>
    <row r="1861" spans="2:14" x14ac:dyDescent="0.2">
      <c r="B1861" s="15"/>
      <c r="C1861" s="6"/>
      <c r="D1861" s="12"/>
      <c r="E1861" s="10" t="str">
        <f t="shared" ref="E1861:E1924" si="146">IF(D1861="","",IFERROR(VLOOKUP(D1861,Catalog,2,FALSE),""))</f>
        <v/>
      </c>
      <c r="F1861" s="16"/>
      <c r="G1861" s="13"/>
      <c r="H1861" s="6"/>
      <c r="I1861" s="6"/>
      <c r="J1861" s="11" t="str">
        <f t="shared" ref="J1861:J1924" si="147">IF(C1861="","",IFERROR(VLOOKUP(C1861,TipSemn,2,FALSE),""))</f>
        <v/>
      </c>
      <c r="K1861" s="17" t="str">
        <f t="shared" ref="K1861:K1924" si="148">IF(OR(J1861="",F1861=""),"",J1861*F1861)</f>
        <v/>
      </c>
      <c r="L1861" s="18" t="str">
        <f t="shared" ref="L1861:L1924" si="149">IF(OR(J1861&lt;&gt;1,G1861=""),"",ROUND(F1861*G1861,2))</f>
        <v/>
      </c>
      <c r="M1861" s="18" t="str">
        <f>IF(J1861&lt;&gt;-1,"",ROUND(F1861*IFERROR(INDEX(Stocuri!$G$5:$G$204,MATCH(D1861,Coduri,0)),0),2))</f>
        <v/>
      </c>
      <c r="N1861" s="19" t="str">
        <f t="shared" ref="N1861:N1924" si="150">IF(AND(B1861="",D1861=""),"",TRIM(IF(OR(B1861="",C1861="",D1861="",F1861=""),"Date incomplete. ","")&amp;IF(AND(D1861&lt;&gt;"",E1861=""),"Cod necunoscut. ","")&amp;IF(AND(J1861=1,C1861&lt;&gt;"Retur de la client",C1861&lt;&gt;"Ajustare inventar +",G1861=""),"Lipsește prețul de intrare. ","")&amp;IF(AND(J1861=-1,D1861&lt;&gt;"",SUMIFS($K$5:$K$2004,$D$5:$D$2004,D1861,$B$5:$B$2004,"&lt;="&amp;B1861)&lt;0),"Stoc insuficient la această dată. ","")&amp;IF(AND(C1861&lt;&gt;"Stoc inițial",H1861=""),"Lipsește documentul. ","")))</f>
        <v/>
      </c>
    </row>
    <row r="1862" spans="2:14" x14ac:dyDescent="0.2">
      <c r="B1862" s="15"/>
      <c r="C1862" s="6"/>
      <c r="D1862" s="12"/>
      <c r="E1862" s="10" t="str">
        <f t="shared" si="146"/>
        <v/>
      </c>
      <c r="F1862" s="16"/>
      <c r="G1862" s="13"/>
      <c r="H1862" s="6"/>
      <c r="I1862" s="6"/>
      <c r="J1862" s="11" t="str">
        <f t="shared" si="147"/>
        <v/>
      </c>
      <c r="K1862" s="17" t="str">
        <f t="shared" si="148"/>
        <v/>
      </c>
      <c r="L1862" s="18" t="str">
        <f t="shared" si="149"/>
        <v/>
      </c>
      <c r="M1862" s="18" t="str">
        <f>IF(J1862&lt;&gt;-1,"",ROUND(F1862*IFERROR(INDEX(Stocuri!$G$5:$G$204,MATCH(D1862,Coduri,0)),0),2))</f>
        <v/>
      </c>
      <c r="N1862" s="19" t="str">
        <f t="shared" si="150"/>
        <v/>
      </c>
    </row>
    <row r="1863" spans="2:14" x14ac:dyDescent="0.2">
      <c r="B1863" s="15"/>
      <c r="C1863" s="6"/>
      <c r="D1863" s="12"/>
      <c r="E1863" s="10" t="str">
        <f t="shared" si="146"/>
        <v/>
      </c>
      <c r="F1863" s="16"/>
      <c r="G1863" s="13"/>
      <c r="H1863" s="6"/>
      <c r="I1863" s="6"/>
      <c r="J1863" s="11" t="str">
        <f t="shared" si="147"/>
        <v/>
      </c>
      <c r="K1863" s="17" t="str">
        <f t="shared" si="148"/>
        <v/>
      </c>
      <c r="L1863" s="18" t="str">
        <f t="shared" si="149"/>
        <v/>
      </c>
      <c r="M1863" s="18" t="str">
        <f>IF(J1863&lt;&gt;-1,"",ROUND(F1863*IFERROR(INDEX(Stocuri!$G$5:$G$204,MATCH(D1863,Coduri,0)),0),2))</f>
        <v/>
      </c>
      <c r="N1863" s="19" t="str">
        <f t="shared" si="150"/>
        <v/>
      </c>
    </row>
    <row r="1864" spans="2:14" x14ac:dyDescent="0.2">
      <c r="B1864" s="15"/>
      <c r="C1864" s="6"/>
      <c r="D1864" s="12"/>
      <c r="E1864" s="10" t="str">
        <f t="shared" si="146"/>
        <v/>
      </c>
      <c r="F1864" s="16"/>
      <c r="G1864" s="13"/>
      <c r="H1864" s="6"/>
      <c r="I1864" s="6"/>
      <c r="J1864" s="11" t="str">
        <f t="shared" si="147"/>
        <v/>
      </c>
      <c r="K1864" s="17" t="str">
        <f t="shared" si="148"/>
        <v/>
      </c>
      <c r="L1864" s="18" t="str">
        <f t="shared" si="149"/>
        <v/>
      </c>
      <c r="M1864" s="18" t="str">
        <f>IF(J1864&lt;&gt;-1,"",ROUND(F1864*IFERROR(INDEX(Stocuri!$G$5:$G$204,MATCH(D1864,Coduri,0)),0),2))</f>
        <v/>
      </c>
      <c r="N1864" s="19" t="str">
        <f t="shared" si="150"/>
        <v/>
      </c>
    </row>
    <row r="1865" spans="2:14" x14ac:dyDescent="0.2">
      <c r="B1865" s="15"/>
      <c r="C1865" s="6"/>
      <c r="D1865" s="12"/>
      <c r="E1865" s="10" t="str">
        <f t="shared" si="146"/>
        <v/>
      </c>
      <c r="F1865" s="16"/>
      <c r="G1865" s="13"/>
      <c r="H1865" s="6"/>
      <c r="I1865" s="6"/>
      <c r="J1865" s="11" t="str">
        <f t="shared" si="147"/>
        <v/>
      </c>
      <c r="K1865" s="17" t="str">
        <f t="shared" si="148"/>
        <v/>
      </c>
      <c r="L1865" s="18" t="str">
        <f t="shared" si="149"/>
        <v/>
      </c>
      <c r="M1865" s="18" t="str">
        <f>IF(J1865&lt;&gt;-1,"",ROUND(F1865*IFERROR(INDEX(Stocuri!$G$5:$G$204,MATCH(D1865,Coduri,0)),0),2))</f>
        <v/>
      </c>
      <c r="N1865" s="19" t="str">
        <f t="shared" si="150"/>
        <v/>
      </c>
    </row>
    <row r="1866" spans="2:14" x14ac:dyDescent="0.2">
      <c r="B1866" s="15"/>
      <c r="C1866" s="6"/>
      <c r="D1866" s="12"/>
      <c r="E1866" s="10" t="str">
        <f t="shared" si="146"/>
        <v/>
      </c>
      <c r="F1866" s="16"/>
      <c r="G1866" s="13"/>
      <c r="H1866" s="6"/>
      <c r="I1866" s="6"/>
      <c r="J1866" s="11" t="str">
        <f t="shared" si="147"/>
        <v/>
      </c>
      <c r="K1866" s="17" t="str">
        <f t="shared" si="148"/>
        <v/>
      </c>
      <c r="L1866" s="18" t="str">
        <f t="shared" si="149"/>
        <v/>
      </c>
      <c r="M1866" s="18" t="str">
        <f>IF(J1866&lt;&gt;-1,"",ROUND(F1866*IFERROR(INDEX(Stocuri!$G$5:$G$204,MATCH(D1866,Coduri,0)),0),2))</f>
        <v/>
      </c>
      <c r="N1866" s="19" t="str">
        <f t="shared" si="150"/>
        <v/>
      </c>
    </row>
    <row r="1867" spans="2:14" x14ac:dyDescent="0.2">
      <c r="B1867" s="15"/>
      <c r="C1867" s="6"/>
      <c r="D1867" s="12"/>
      <c r="E1867" s="10" t="str">
        <f t="shared" si="146"/>
        <v/>
      </c>
      <c r="F1867" s="16"/>
      <c r="G1867" s="13"/>
      <c r="H1867" s="6"/>
      <c r="I1867" s="6"/>
      <c r="J1867" s="11" t="str">
        <f t="shared" si="147"/>
        <v/>
      </c>
      <c r="K1867" s="17" t="str">
        <f t="shared" si="148"/>
        <v/>
      </c>
      <c r="L1867" s="18" t="str">
        <f t="shared" si="149"/>
        <v/>
      </c>
      <c r="M1867" s="18" t="str">
        <f>IF(J1867&lt;&gt;-1,"",ROUND(F1867*IFERROR(INDEX(Stocuri!$G$5:$G$204,MATCH(D1867,Coduri,0)),0),2))</f>
        <v/>
      </c>
      <c r="N1867" s="19" t="str">
        <f t="shared" si="150"/>
        <v/>
      </c>
    </row>
    <row r="1868" spans="2:14" x14ac:dyDescent="0.2">
      <c r="B1868" s="15"/>
      <c r="C1868" s="6"/>
      <c r="D1868" s="12"/>
      <c r="E1868" s="10" t="str">
        <f t="shared" si="146"/>
        <v/>
      </c>
      <c r="F1868" s="16"/>
      <c r="G1868" s="13"/>
      <c r="H1868" s="6"/>
      <c r="I1868" s="6"/>
      <c r="J1868" s="11" t="str">
        <f t="shared" si="147"/>
        <v/>
      </c>
      <c r="K1868" s="17" t="str">
        <f t="shared" si="148"/>
        <v/>
      </c>
      <c r="L1868" s="18" t="str">
        <f t="shared" si="149"/>
        <v/>
      </c>
      <c r="M1868" s="18" t="str">
        <f>IF(J1868&lt;&gt;-1,"",ROUND(F1868*IFERROR(INDEX(Stocuri!$G$5:$G$204,MATCH(D1868,Coduri,0)),0),2))</f>
        <v/>
      </c>
      <c r="N1868" s="19" t="str">
        <f t="shared" si="150"/>
        <v/>
      </c>
    </row>
    <row r="1869" spans="2:14" x14ac:dyDescent="0.2">
      <c r="B1869" s="15"/>
      <c r="C1869" s="6"/>
      <c r="D1869" s="12"/>
      <c r="E1869" s="10" t="str">
        <f t="shared" si="146"/>
        <v/>
      </c>
      <c r="F1869" s="16"/>
      <c r="G1869" s="13"/>
      <c r="H1869" s="6"/>
      <c r="I1869" s="6"/>
      <c r="J1869" s="11" t="str">
        <f t="shared" si="147"/>
        <v/>
      </c>
      <c r="K1869" s="17" t="str">
        <f t="shared" si="148"/>
        <v/>
      </c>
      <c r="L1869" s="18" t="str">
        <f t="shared" si="149"/>
        <v/>
      </c>
      <c r="M1869" s="18" t="str">
        <f>IF(J1869&lt;&gt;-1,"",ROUND(F1869*IFERROR(INDEX(Stocuri!$G$5:$G$204,MATCH(D1869,Coduri,0)),0),2))</f>
        <v/>
      </c>
      <c r="N1869" s="19" t="str">
        <f t="shared" si="150"/>
        <v/>
      </c>
    </row>
    <row r="1870" spans="2:14" x14ac:dyDescent="0.2">
      <c r="B1870" s="15"/>
      <c r="C1870" s="6"/>
      <c r="D1870" s="12"/>
      <c r="E1870" s="10" t="str">
        <f t="shared" si="146"/>
        <v/>
      </c>
      <c r="F1870" s="16"/>
      <c r="G1870" s="13"/>
      <c r="H1870" s="6"/>
      <c r="I1870" s="6"/>
      <c r="J1870" s="11" t="str">
        <f t="shared" si="147"/>
        <v/>
      </c>
      <c r="K1870" s="17" t="str">
        <f t="shared" si="148"/>
        <v/>
      </c>
      <c r="L1870" s="18" t="str">
        <f t="shared" si="149"/>
        <v/>
      </c>
      <c r="M1870" s="18" t="str">
        <f>IF(J1870&lt;&gt;-1,"",ROUND(F1870*IFERROR(INDEX(Stocuri!$G$5:$G$204,MATCH(D1870,Coduri,0)),0),2))</f>
        <v/>
      </c>
      <c r="N1870" s="19" t="str">
        <f t="shared" si="150"/>
        <v/>
      </c>
    </row>
    <row r="1871" spans="2:14" x14ac:dyDescent="0.2">
      <c r="B1871" s="15"/>
      <c r="C1871" s="6"/>
      <c r="D1871" s="12"/>
      <c r="E1871" s="10" t="str">
        <f t="shared" si="146"/>
        <v/>
      </c>
      <c r="F1871" s="16"/>
      <c r="G1871" s="13"/>
      <c r="H1871" s="6"/>
      <c r="I1871" s="6"/>
      <c r="J1871" s="11" t="str">
        <f t="shared" si="147"/>
        <v/>
      </c>
      <c r="K1871" s="17" t="str">
        <f t="shared" si="148"/>
        <v/>
      </c>
      <c r="L1871" s="18" t="str">
        <f t="shared" si="149"/>
        <v/>
      </c>
      <c r="M1871" s="18" t="str">
        <f>IF(J1871&lt;&gt;-1,"",ROUND(F1871*IFERROR(INDEX(Stocuri!$G$5:$G$204,MATCH(D1871,Coduri,0)),0),2))</f>
        <v/>
      </c>
      <c r="N1871" s="19" t="str">
        <f t="shared" si="150"/>
        <v/>
      </c>
    </row>
    <row r="1872" spans="2:14" x14ac:dyDescent="0.2">
      <c r="B1872" s="15"/>
      <c r="C1872" s="6"/>
      <c r="D1872" s="12"/>
      <c r="E1872" s="10" t="str">
        <f t="shared" si="146"/>
        <v/>
      </c>
      <c r="F1872" s="16"/>
      <c r="G1872" s="13"/>
      <c r="H1872" s="6"/>
      <c r="I1872" s="6"/>
      <c r="J1872" s="11" t="str">
        <f t="shared" si="147"/>
        <v/>
      </c>
      <c r="K1872" s="17" t="str">
        <f t="shared" si="148"/>
        <v/>
      </c>
      <c r="L1872" s="18" t="str">
        <f t="shared" si="149"/>
        <v/>
      </c>
      <c r="M1872" s="18" t="str">
        <f>IF(J1872&lt;&gt;-1,"",ROUND(F1872*IFERROR(INDEX(Stocuri!$G$5:$G$204,MATCH(D1872,Coduri,0)),0),2))</f>
        <v/>
      </c>
      <c r="N1872" s="19" t="str">
        <f t="shared" si="150"/>
        <v/>
      </c>
    </row>
    <row r="1873" spans="2:14" x14ac:dyDescent="0.2">
      <c r="B1873" s="15"/>
      <c r="C1873" s="6"/>
      <c r="D1873" s="12"/>
      <c r="E1873" s="10" t="str">
        <f t="shared" si="146"/>
        <v/>
      </c>
      <c r="F1873" s="16"/>
      <c r="G1873" s="13"/>
      <c r="H1873" s="6"/>
      <c r="I1873" s="6"/>
      <c r="J1873" s="11" t="str">
        <f t="shared" si="147"/>
        <v/>
      </c>
      <c r="K1873" s="17" t="str">
        <f t="shared" si="148"/>
        <v/>
      </c>
      <c r="L1873" s="18" t="str">
        <f t="shared" si="149"/>
        <v/>
      </c>
      <c r="M1873" s="18" t="str">
        <f>IF(J1873&lt;&gt;-1,"",ROUND(F1873*IFERROR(INDEX(Stocuri!$G$5:$G$204,MATCH(D1873,Coduri,0)),0),2))</f>
        <v/>
      </c>
      <c r="N1873" s="19" t="str">
        <f t="shared" si="150"/>
        <v/>
      </c>
    </row>
    <row r="1874" spans="2:14" x14ac:dyDescent="0.2">
      <c r="B1874" s="15"/>
      <c r="C1874" s="6"/>
      <c r="D1874" s="12"/>
      <c r="E1874" s="10" t="str">
        <f t="shared" si="146"/>
        <v/>
      </c>
      <c r="F1874" s="16"/>
      <c r="G1874" s="13"/>
      <c r="H1874" s="6"/>
      <c r="I1874" s="6"/>
      <c r="J1874" s="11" t="str">
        <f t="shared" si="147"/>
        <v/>
      </c>
      <c r="K1874" s="17" t="str">
        <f t="shared" si="148"/>
        <v/>
      </c>
      <c r="L1874" s="18" t="str">
        <f t="shared" si="149"/>
        <v/>
      </c>
      <c r="M1874" s="18" t="str">
        <f>IF(J1874&lt;&gt;-1,"",ROUND(F1874*IFERROR(INDEX(Stocuri!$G$5:$G$204,MATCH(D1874,Coduri,0)),0),2))</f>
        <v/>
      </c>
      <c r="N1874" s="19" t="str">
        <f t="shared" si="150"/>
        <v/>
      </c>
    </row>
    <row r="1875" spans="2:14" x14ac:dyDescent="0.2">
      <c r="B1875" s="15"/>
      <c r="C1875" s="6"/>
      <c r="D1875" s="12"/>
      <c r="E1875" s="10" t="str">
        <f t="shared" si="146"/>
        <v/>
      </c>
      <c r="F1875" s="16"/>
      <c r="G1875" s="13"/>
      <c r="H1875" s="6"/>
      <c r="I1875" s="6"/>
      <c r="J1875" s="11" t="str">
        <f t="shared" si="147"/>
        <v/>
      </c>
      <c r="K1875" s="17" t="str">
        <f t="shared" si="148"/>
        <v/>
      </c>
      <c r="L1875" s="18" t="str">
        <f t="shared" si="149"/>
        <v/>
      </c>
      <c r="M1875" s="18" t="str">
        <f>IF(J1875&lt;&gt;-1,"",ROUND(F1875*IFERROR(INDEX(Stocuri!$G$5:$G$204,MATCH(D1875,Coduri,0)),0),2))</f>
        <v/>
      </c>
      <c r="N1875" s="19" t="str">
        <f t="shared" si="150"/>
        <v/>
      </c>
    </row>
    <row r="1876" spans="2:14" x14ac:dyDescent="0.2">
      <c r="B1876" s="15"/>
      <c r="C1876" s="6"/>
      <c r="D1876" s="12"/>
      <c r="E1876" s="10" t="str">
        <f t="shared" si="146"/>
        <v/>
      </c>
      <c r="F1876" s="16"/>
      <c r="G1876" s="13"/>
      <c r="H1876" s="6"/>
      <c r="I1876" s="6"/>
      <c r="J1876" s="11" t="str">
        <f t="shared" si="147"/>
        <v/>
      </c>
      <c r="K1876" s="17" t="str">
        <f t="shared" si="148"/>
        <v/>
      </c>
      <c r="L1876" s="18" t="str">
        <f t="shared" si="149"/>
        <v/>
      </c>
      <c r="M1876" s="18" t="str">
        <f>IF(J1876&lt;&gt;-1,"",ROUND(F1876*IFERROR(INDEX(Stocuri!$G$5:$G$204,MATCH(D1876,Coduri,0)),0),2))</f>
        <v/>
      </c>
      <c r="N1876" s="19" t="str">
        <f t="shared" si="150"/>
        <v/>
      </c>
    </row>
    <row r="1877" spans="2:14" x14ac:dyDescent="0.2">
      <c r="B1877" s="15"/>
      <c r="C1877" s="6"/>
      <c r="D1877" s="12"/>
      <c r="E1877" s="10" t="str">
        <f t="shared" si="146"/>
        <v/>
      </c>
      <c r="F1877" s="16"/>
      <c r="G1877" s="13"/>
      <c r="H1877" s="6"/>
      <c r="I1877" s="6"/>
      <c r="J1877" s="11" t="str">
        <f t="shared" si="147"/>
        <v/>
      </c>
      <c r="K1877" s="17" t="str">
        <f t="shared" si="148"/>
        <v/>
      </c>
      <c r="L1877" s="18" t="str">
        <f t="shared" si="149"/>
        <v/>
      </c>
      <c r="M1877" s="18" t="str">
        <f>IF(J1877&lt;&gt;-1,"",ROUND(F1877*IFERROR(INDEX(Stocuri!$G$5:$G$204,MATCH(D1877,Coduri,0)),0),2))</f>
        <v/>
      </c>
      <c r="N1877" s="19" t="str">
        <f t="shared" si="150"/>
        <v/>
      </c>
    </row>
    <row r="1878" spans="2:14" x14ac:dyDescent="0.2">
      <c r="B1878" s="15"/>
      <c r="C1878" s="6"/>
      <c r="D1878" s="12"/>
      <c r="E1878" s="10" t="str">
        <f t="shared" si="146"/>
        <v/>
      </c>
      <c r="F1878" s="16"/>
      <c r="G1878" s="13"/>
      <c r="H1878" s="6"/>
      <c r="I1878" s="6"/>
      <c r="J1878" s="11" t="str">
        <f t="shared" si="147"/>
        <v/>
      </c>
      <c r="K1878" s="17" t="str">
        <f t="shared" si="148"/>
        <v/>
      </c>
      <c r="L1878" s="18" t="str">
        <f t="shared" si="149"/>
        <v/>
      </c>
      <c r="M1878" s="18" t="str">
        <f>IF(J1878&lt;&gt;-1,"",ROUND(F1878*IFERROR(INDEX(Stocuri!$G$5:$G$204,MATCH(D1878,Coduri,0)),0),2))</f>
        <v/>
      </c>
      <c r="N1878" s="19" t="str">
        <f t="shared" si="150"/>
        <v/>
      </c>
    </row>
    <row r="1879" spans="2:14" x14ac:dyDescent="0.2">
      <c r="B1879" s="15"/>
      <c r="C1879" s="6"/>
      <c r="D1879" s="12"/>
      <c r="E1879" s="10" t="str">
        <f t="shared" si="146"/>
        <v/>
      </c>
      <c r="F1879" s="16"/>
      <c r="G1879" s="13"/>
      <c r="H1879" s="6"/>
      <c r="I1879" s="6"/>
      <c r="J1879" s="11" t="str">
        <f t="shared" si="147"/>
        <v/>
      </c>
      <c r="K1879" s="17" t="str">
        <f t="shared" si="148"/>
        <v/>
      </c>
      <c r="L1879" s="18" t="str">
        <f t="shared" si="149"/>
        <v/>
      </c>
      <c r="M1879" s="18" t="str">
        <f>IF(J1879&lt;&gt;-1,"",ROUND(F1879*IFERROR(INDEX(Stocuri!$G$5:$G$204,MATCH(D1879,Coduri,0)),0),2))</f>
        <v/>
      </c>
      <c r="N1879" s="19" t="str">
        <f t="shared" si="150"/>
        <v/>
      </c>
    </row>
    <row r="1880" spans="2:14" x14ac:dyDescent="0.2">
      <c r="B1880" s="15"/>
      <c r="C1880" s="6"/>
      <c r="D1880" s="12"/>
      <c r="E1880" s="10" t="str">
        <f t="shared" si="146"/>
        <v/>
      </c>
      <c r="F1880" s="16"/>
      <c r="G1880" s="13"/>
      <c r="H1880" s="6"/>
      <c r="I1880" s="6"/>
      <c r="J1880" s="11" t="str">
        <f t="shared" si="147"/>
        <v/>
      </c>
      <c r="K1880" s="17" t="str">
        <f t="shared" si="148"/>
        <v/>
      </c>
      <c r="L1880" s="18" t="str">
        <f t="shared" si="149"/>
        <v/>
      </c>
      <c r="M1880" s="18" t="str">
        <f>IF(J1880&lt;&gt;-1,"",ROUND(F1880*IFERROR(INDEX(Stocuri!$G$5:$G$204,MATCH(D1880,Coduri,0)),0),2))</f>
        <v/>
      </c>
      <c r="N1880" s="19" t="str">
        <f t="shared" si="150"/>
        <v/>
      </c>
    </row>
    <row r="1881" spans="2:14" x14ac:dyDescent="0.2">
      <c r="B1881" s="15"/>
      <c r="C1881" s="6"/>
      <c r="D1881" s="12"/>
      <c r="E1881" s="10" t="str">
        <f t="shared" si="146"/>
        <v/>
      </c>
      <c r="F1881" s="16"/>
      <c r="G1881" s="13"/>
      <c r="H1881" s="6"/>
      <c r="I1881" s="6"/>
      <c r="J1881" s="11" t="str">
        <f t="shared" si="147"/>
        <v/>
      </c>
      <c r="K1881" s="17" t="str">
        <f t="shared" si="148"/>
        <v/>
      </c>
      <c r="L1881" s="18" t="str">
        <f t="shared" si="149"/>
        <v/>
      </c>
      <c r="M1881" s="18" t="str">
        <f>IF(J1881&lt;&gt;-1,"",ROUND(F1881*IFERROR(INDEX(Stocuri!$G$5:$G$204,MATCH(D1881,Coduri,0)),0),2))</f>
        <v/>
      </c>
      <c r="N1881" s="19" t="str">
        <f t="shared" si="150"/>
        <v/>
      </c>
    </row>
    <row r="1882" spans="2:14" x14ac:dyDescent="0.2">
      <c r="B1882" s="15"/>
      <c r="C1882" s="6"/>
      <c r="D1882" s="12"/>
      <c r="E1882" s="10" t="str">
        <f t="shared" si="146"/>
        <v/>
      </c>
      <c r="F1882" s="16"/>
      <c r="G1882" s="13"/>
      <c r="H1882" s="6"/>
      <c r="I1882" s="6"/>
      <c r="J1882" s="11" t="str">
        <f t="shared" si="147"/>
        <v/>
      </c>
      <c r="K1882" s="17" t="str">
        <f t="shared" si="148"/>
        <v/>
      </c>
      <c r="L1882" s="18" t="str">
        <f t="shared" si="149"/>
        <v/>
      </c>
      <c r="M1882" s="18" t="str">
        <f>IF(J1882&lt;&gt;-1,"",ROUND(F1882*IFERROR(INDEX(Stocuri!$G$5:$G$204,MATCH(D1882,Coduri,0)),0),2))</f>
        <v/>
      </c>
      <c r="N1882" s="19" t="str">
        <f t="shared" si="150"/>
        <v/>
      </c>
    </row>
    <row r="1883" spans="2:14" x14ac:dyDescent="0.2">
      <c r="B1883" s="15"/>
      <c r="C1883" s="6"/>
      <c r="D1883" s="12"/>
      <c r="E1883" s="10" t="str">
        <f t="shared" si="146"/>
        <v/>
      </c>
      <c r="F1883" s="16"/>
      <c r="G1883" s="13"/>
      <c r="H1883" s="6"/>
      <c r="I1883" s="6"/>
      <c r="J1883" s="11" t="str">
        <f t="shared" si="147"/>
        <v/>
      </c>
      <c r="K1883" s="17" t="str">
        <f t="shared" si="148"/>
        <v/>
      </c>
      <c r="L1883" s="18" t="str">
        <f t="shared" si="149"/>
        <v/>
      </c>
      <c r="M1883" s="18" t="str">
        <f>IF(J1883&lt;&gt;-1,"",ROUND(F1883*IFERROR(INDEX(Stocuri!$G$5:$G$204,MATCH(D1883,Coduri,0)),0),2))</f>
        <v/>
      </c>
      <c r="N1883" s="19" t="str">
        <f t="shared" si="150"/>
        <v/>
      </c>
    </row>
    <row r="1884" spans="2:14" x14ac:dyDescent="0.2">
      <c r="B1884" s="15"/>
      <c r="C1884" s="6"/>
      <c r="D1884" s="12"/>
      <c r="E1884" s="10" t="str">
        <f t="shared" si="146"/>
        <v/>
      </c>
      <c r="F1884" s="16"/>
      <c r="G1884" s="13"/>
      <c r="H1884" s="6"/>
      <c r="I1884" s="6"/>
      <c r="J1884" s="11" t="str">
        <f t="shared" si="147"/>
        <v/>
      </c>
      <c r="K1884" s="17" t="str">
        <f t="shared" si="148"/>
        <v/>
      </c>
      <c r="L1884" s="18" t="str">
        <f t="shared" si="149"/>
        <v/>
      </c>
      <c r="M1884" s="18" t="str">
        <f>IF(J1884&lt;&gt;-1,"",ROUND(F1884*IFERROR(INDEX(Stocuri!$G$5:$G$204,MATCH(D1884,Coduri,0)),0),2))</f>
        <v/>
      </c>
      <c r="N1884" s="19" t="str">
        <f t="shared" si="150"/>
        <v/>
      </c>
    </row>
    <row r="1885" spans="2:14" x14ac:dyDescent="0.2">
      <c r="B1885" s="15"/>
      <c r="C1885" s="6"/>
      <c r="D1885" s="12"/>
      <c r="E1885" s="10" t="str">
        <f t="shared" si="146"/>
        <v/>
      </c>
      <c r="F1885" s="16"/>
      <c r="G1885" s="13"/>
      <c r="H1885" s="6"/>
      <c r="I1885" s="6"/>
      <c r="J1885" s="11" t="str">
        <f t="shared" si="147"/>
        <v/>
      </c>
      <c r="K1885" s="17" t="str">
        <f t="shared" si="148"/>
        <v/>
      </c>
      <c r="L1885" s="18" t="str">
        <f t="shared" si="149"/>
        <v/>
      </c>
      <c r="M1885" s="18" t="str">
        <f>IF(J1885&lt;&gt;-1,"",ROUND(F1885*IFERROR(INDEX(Stocuri!$G$5:$G$204,MATCH(D1885,Coduri,0)),0),2))</f>
        <v/>
      </c>
      <c r="N1885" s="19" t="str">
        <f t="shared" si="150"/>
        <v/>
      </c>
    </row>
    <row r="1886" spans="2:14" x14ac:dyDescent="0.2">
      <c r="B1886" s="15"/>
      <c r="C1886" s="6"/>
      <c r="D1886" s="12"/>
      <c r="E1886" s="10" t="str">
        <f t="shared" si="146"/>
        <v/>
      </c>
      <c r="F1886" s="16"/>
      <c r="G1886" s="13"/>
      <c r="H1886" s="6"/>
      <c r="I1886" s="6"/>
      <c r="J1886" s="11" t="str">
        <f t="shared" si="147"/>
        <v/>
      </c>
      <c r="K1886" s="17" t="str">
        <f t="shared" si="148"/>
        <v/>
      </c>
      <c r="L1886" s="18" t="str">
        <f t="shared" si="149"/>
        <v/>
      </c>
      <c r="M1886" s="18" t="str">
        <f>IF(J1886&lt;&gt;-1,"",ROUND(F1886*IFERROR(INDEX(Stocuri!$G$5:$G$204,MATCH(D1886,Coduri,0)),0),2))</f>
        <v/>
      </c>
      <c r="N1886" s="19" t="str">
        <f t="shared" si="150"/>
        <v/>
      </c>
    </row>
    <row r="1887" spans="2:14" x14ac:dyDescent="0.2">
      <c r="B1887" s="15"/>
      <c r="C1887" s="6"/>
      <c r="D1887" s="12"/>
      <c r="E1887" s="10" t="str">
        <f t="shared" si="146"/>
        <v/>
      </c>
      <c r="F1887" s="16"/>
      <c r="G1887" s="13"/>
      <c r="H1887" s="6"/>
      <c r="I1887" s="6"/>
      <c r="J1887" s="11" t="str">
        <f t="shared" si="147"/>
        <v/>
      </c>
      <c r="K1887" s="17" t="str">
        <f t="shared" si="148"/>
        <v/>
      </c>
      <c r="L1887" s="18" t="str">
        <f t="shared" si="149"/>
        <v/>
      </c>
      <c r="M1887" s="18" t="str">
        <f>IF(J1887&lt;&gt;-1,"",ROUND(F1887*IFERROR(INDEX(Stocuri!$G$5:$G$204,MATCH(D1887,Coduri,0)),0),2))</f>
        <v/>
      </c>
      <c r="N1887" s="19" t="str">
        <f t="shared" si="150"/>
        <v/>
      </c>
    </row>
    <row r="1888" spans="2:14" x14ac:dyDescent="0.2">
      <c r="B1888" s="15"/>
      <c r="C1888" s="6"/>
      <c r="D1888" s="12"/>
      <c r="E1888" s="10" t="str">
        <f t="shared" si="146"/>
        <v/>
      </c>
      <c r="F1888" s="16"/>
      <c r="G1888" s="13"/>
      <c r="H1888" s="6"/>
      <c r="I1888" s="6"/>
      <c r="J1888" s="11" t="str">
        <f t="shared" si="147"/>
        <v/>
      </c>
      <c r="K1888" s="17" t="str">
        <f t="shared" si="148"/>
        <v/>
      </c>
      <c r="L1888" s="18" t="str">
        <f t="shared" si="149"/>
        <v/>
      </c>
      <c r="M1888" s="18" t="str">
        <f>IF(J1888&lt;&gt;-1,"",ROUND(F1888*IFERROR(INDEX(Stocuri!$G$5:$G$204,MATCH(D1888,Coduri,0)),0),2))</f>
        <v/>
      </c>
      <c r="N1888" s="19" t="str">
        <f t="shared" si="150"/>
        <v/>
      </c>
    </row>
    <row r="1889" spans="2:14" x14ac:dyDescent="0.2">
      <c r="B1889" s="15"/>
      <c r="C1889" s="6"/>
      <c r="D1889" s="12"/>
      <c r="E1889" s="10" t="str">
        <f t="shared" si="146"/>
        <v/>
      </c>
      <c r="F1889" s="16"/>
      <c r="G1889" s="13"/>
      <c r="H1889" s="6"/>
      <c r="I1889" s="6"/>
      <c r="J1889" s="11" t="str">
        <f t="shared" si="147"/>
        <v/>
      </c>
      <c r="K1889" s="17" t="str">
        <f t="shared" si="148"/>
        <v/>
      </c>
      <c r="L1889" s="18" t="str">
        <f t="shared" si="149"/>
        <v/>
      </c>
      <c r="M1889" s="18" t="str">
        <f>IF(J1889&lt;&gt;-1,"",ROUND(F1889*IFERROR(INDEX(Stocuri!$G$5:$G$204,MATCH(D1889,Coduri,0)),0),2))</f>
        <v/>
      </c>
      <c r="N1889" s="19" t="str">
        <f t="shared" si="150"/>
        <v/>
      </c>
    </row>
    <row r="1890" spans="2:14" x14ac:dyDescent="0.2">
      <c r="B1890" s="15"/>
      <c r="C1890" s="6"/>
      <c r="D1890" s="12"/>
      <c r="E1890" s="10" t="str">
        <f t="shared" si="146"/>
        <v/>
      </c>
      <c r="F1890" s="16"/>
      <c r="G1890" s="13"/>
      <c r="H1890" s="6"/>
      <c r="I1890" s="6"/>
      <c r="J1890" s="11" t="str">
        <f t="shared" si="147"/>
        <v/>
      </c>
      <c r="K1890" s="17" t="str">
        <f t="shared" si="148"/>
        <v/>
      </c>
      <c r="L1890" s="18" t="str">
        <f t="shared" si="149"/>
        <v/>
      </c>
      <c r="M1890" s="18" t="str">
        <f>IF(J1890&lt;&gt;-1,"",ROUND(F1890*IFERROR(INDEX(Stocuri!$G$5:$G$204,MATCH(D1890,Coduri,0)),0),2))</f>
        <v/>
      </c>
      <c r="N1890" s="19" t="str">
        <f t="shared" si="150"/>
        <v/>
      </c>
    </row>
    <row r="1891" spans="2:14" x14ac:dyDescent="0.2">
      <c r="B1891" s="15"/>
      <c r="C1891" s="6"/>
      <c r="D1891" s="12"/>
      <c r="E1891" s="10" t="str">
        <f t="shared" si="146"/>
        <v/>
      </c>
      <c r="F1891" s="16"/>
      <c r="G1891" s="13"/>
      <c r="H1891" s="6"/>
      <c r="I1891" s="6"/>
      <c r="J1891" s="11" t="str">
        <f t="shared" si="147"/>
        <v/>
      </c>
      <c r="K1891" s="17" t="str">
        <f t="shared" si="148"/>
        <v/>
      </c>
      <c r="L1891" s="18" t="str">
        <f t="shared" si="149"/>
        <v/>
      </c>
      <c r="M1891" s="18" t="str">
        <f>IF(J1891&lt;&gt;-1,"",ROUND(F1891*IFERROR(INDEX(Stocuri!$G$5:$G$204,MATCH(D1891,Coduri,0)),0),2))</f>
        <v/>
      </c>
      <c r="N1891" s="19" t="str">
        <f t="shared" si="150"/>
        <v/>
      </c>
    </row>
    <row r="1892" spans="2:14" x14ac:dyDescent="0.2">
      <c r="B1892" s="15"/>
      <c r="C1892" s="6"/>
      <c r="D1892" s="12"/>
      <c r="E1892" s="10" t="str">
        <f t="shared" si="146"/>
        <v/>
      </c>
      <c r="F1892" s="16"/>
      <c r="G1892" s="13"/>
      <c r="H1892" s="6"/>
      <c r="I1892" s="6"/>
      <c r="J1892" s="11" t="str">
        <f t="shared" si="147"/>
        <v/>
      </c>
      <c r="K1892" s="17" t="str">
        <f t="shared" si="148"/>
        <v/>
      </c>
      <c r="L1892" s="18" t="str">
        <f t="shared" si="149"/>
        <v/>
      </c>
      <c r="M1892" s="18" t="str">
        <f>IF(J1892&lt;&gt;-1,"",ROUND(F1892*IFERROR(INDEX(Stocuri!$G$5:$G$204,MATCH(D1892,Coduri,0)),0),2))</f>
        <v/>
      </c>
      <c r="N1892" s="19" t="str">
        <f t="shared" si="150"/>
        <v/>
      </c>
    </row>
    <row r="1893" spans="2:14" x14ac:dyDescent="0.2">
      <c r="B1893" s="15"/>
      <c r="C1893" s="6"/>
      <c r="D1893" s="12"/>
      <c r="E1893" s="10" t="str">
        <f t="shared" si="146"/>
        <v/>
      </c>
      <c r="F1893" s="16"/>
      <c r="G1893" s="13"/>
      <c r="H1893" s="6"/>
      <c r="I1893" s="6"/>
      <c r="J1893" s="11" t="str">
        <f t="shared" si="147"/>
        <v/>
      </c>
      <c r="K1893" s="17" t="str">
        <f t="shared" si="148"/>
        <v/>
      </c>
      <c r="L1893" s="18" t="str">
        <f t="shared" si="149"/>
        <v/>
      </c>
      <c r="M1893" s="18" t="str">
        <f>IF(J1893&lt;&gt;-1,"",ROUND(F1893*IFERROR(INDEX(Stocuri!$G$5:$G$204,MATCH(D1893,Coduri,0)),0),2))</f>
        <v/>
      </c>
      <c r="N1893" s="19" t="str">
        <f t="shared" si="150"/>
        <v/>
      </c>
    </row>
    <row r="1894" spans="2:14" x14ac:dyDescent="0.2">
      <c r="B1894" s="15"/>
      <c r="C1894" s="6"/>
      <c r="D1894" s="12"/>
      <c r="E1894" s="10" t="str">
        <f t="shared" si="146"/>
        <v/>
      </c>
      <c r="F1894" s="16"/>
      <c r="G1894" s="13"/>
      <c r="H1894" s="6"/>
      <c r="I1894" s="6"/>
      <c r="J1894" s="11" t="str">
        <f t="shared" si="147"/>
        <v/>
      </c>
      <c r="K1894" s="17" t="str">
        <f t="shared" si="148"/>
        <v/>
      </c>
      <c r="L1894" s="18" t="str">
        <f t="shared" si="149"/>
        <v/>
      </c>
      <c r="M1894" s="18" t="str">
        <f>IF(J1894&lt;&gt;-1,"",ROUND(F1894*IFERROR(INDEX(Stocuri!$G$5:$G$204,MATCH(D1894,Coduri,0)),0),2))</f>
        <v/>
      </c>
      <c r="N1894" s="19" t="str">
        <f t="shared" si="150"/>
        <v/>
      </c>
    </row>
    <row r="1895" spans="2:14" x14ac:dyDescent="0.2">
      <c r="B1895" s="15"/>
      <c r="C1895" s="6"/>
      <c r="D1895" s="12"/>
      <c r="E1895" s="10" t="str">
        <f t="shared" si="146"/>
        <v/>
      </c>
      <c r="F1895" s="16"/>
      <c r="G1895" s="13"/>
      <c r="H1895" s="6"/>
      <c r="I1895" s="6"/>
      <c r="J1895" s="11" t="str">
        <f t="shared" si="147"/>
        <v/>
      </c>
      <c r="K1895" s="17" t="str">
        <f t="shared" si="148"/>
        <v/>
      </c>
      <c r="L1895" s="18" t="str">
        <f t="shared" si="149"/>
        <v/>
      </c>
      <c r="M1895" s="18" t="str">
        <f>IF(J1895&lt;&gt;-1,"",ROUND(F1895*IFERROR(INDEX(Stocuri!$G$5:$G$204,MATCH(D1895,Coduri,0)),0),2))</f>
        <v/>
      </c>
      <c r="N1895" s="19" t="str">
        <f t="shared" si="150"/>
        <v/>
      </c>
    </row>
    <row r="1896" spans="2:14" x14ac:dyDescent="0.2">
      <c r="B1896" s="15"/>
      <c r="C1896" s="6"/>
      <c r="D1896" s="12"/>
      <c r="E1896" s="10" t="str">
        <f t="shared" si="146"/>
        <v/>
      </c>
      <c r="F1896" s="16"/>
      <c r="G1896" s="13"/>
      <c r="H1896" s="6"/>
      <c r="I1896" s="6"/>
      <c r="J1896" s="11" t="str">
        <f t="shared" si="147"/>
        <v/>
      </c>
      <c r="K1896" s="17" t="str">
        <f t="shared" si="148"/>
        <v/>
      </c>
      <c r="L1896" s="18" t="str">
        <f t="shared" si="149"/>
        <v/>
      </c>
      <c r="M1896" s="18" t="str">
        <f>IF(J1896&lt;&gt;-1,"",ROUND(F1896*IFERROR(INDEX(Stocuri!$G$5:$G$204,MATCH(D1896,Coduri,0)),0),2))</f>
        <v/>
      </c>
      <c r="N1896" s="19" t="str">
        <f t="shared" si="150"/>
        <v/>
      </c>
    </row>
    <row r="1897" spans="2:14" x14ac:dyDescent="0.2">
      <c r="B1897" s="15"/>
      <c r="C1897" s="6"/>
      <c r="D1897" s="12"/>
      <c r="E1897" s="10" t="str">
        <f t="shared" si="146"/>
        <v/>
      </c>
      <c r="F1897" s="16"/>
      <c r="G1897" s="13"/>
      <c r="H1897" s="6"/>
      <c r="I1897" s="6"/>
      <c r="J1897" s="11" t="str">
        <f t="shared" si="147"/>
        <v/>
      </c>
      <c r="K1897" s="17" t="str">
        <f t="shared" si="148"/>
        <v/>
      </c>
      <c r="L1897" s="18" t="str">
        <f t="shared" si="149"/>
        <v/>
      </c>
      <c r="M1897" s="18" t="str">
        <f>IF(J1897&lt;&gt;-1,"",ROUND(F1897*IFERROR(INDEX(Stocuri!$G$5:$G$204,MATCH(D1897,Coduri,0)),0),2))</f>
        <v/>
      </c>
      <c r="N1897" s="19" t="str">
        <f t="shared" si="150"/>
        <v/>
      </c>
    </row>
    <row r="1898" spans="2:14" x14ac:dyDescent="0.2">
      <c r="B1898" s="15"/>
      <c r="C1898" s="6"/>
      <c r="D1898" s="12"/>
      <c r="E1898" s="10" t="str">
        <f t="shared" si="146"/>
        <v/>
      </c>
      <c r="F1898" s="16"/>
      <c r="G1898" s="13"/>
      <c r="H1898" s="6"/>
      <c r="I1898" s="6"/>
      <c r="J1898" s="11" t="str">
        <f t="shared" si="147"/>
        <v/>
      </c>
      <c r="K1898" s="17" t="str">
        <f t="shared" si="148"/>
        <v/>
      </c>
      <c r="L1898" s="18" t="str">
        <f t="shared" si="149"/>
        <v/>
      </c>
      <c r="M1898" s="18" t="str">
        <f>IF(J1898&lt;&gt;-1,"",ROUND(F1898*IFERROR(INDEX(Stocuri!$G$5:$G$204,MATCH(D1898,Coduri,0)),0),2))</f>
        <v/>
      </c>
      <c r="N1898" s="19" t="str">
        <f t="shared" si="150"/>
        <v/>
      </c>
    </row>
    <row r="1899" spans="2:14" x14ac:dyDescent="0.2">
      <c r="B1899" s="15"/>
      <c r="C1899" s="6"/>
      <c r="D1899" s="12"/>
      <c r="E1899" s="10" t="str">
        <f t="shared" si="146"/>
        <v/>
      </c>
      <c r="F1899" s="16"/>
      <c r="G1899" s="13"/>
      <c r="H1899" s="6"/>
      <c r="I1899" s="6"/>
      <c r="J1899" s="11" t="str">
        <f t="shared" si="147"/>
        <v/>
      </c>
      <c r="K1899" s="17" t="str">
        <f t="shared" si="148"/>
        <v/>
      </c>
      <c r="L1899" s="18" t="str">
        <f t="shared" si="149"/>
        <v/>
      </c>
      <c r="M1899" s="18" t="str">
        <f>IF(J1899&lt;&gt;-1,"",ROUND(F1899*IFERROR(INDEX(Stocuri!$G$5:$G$204,MATCH(D1899,Coduri,0)),0),2))</f>
        <v/>
      </c>
      <c r="N1899" s="19" t="str">
        <f t="shared" si="150"/>
        <v/>
      </c>
    </row>
    <row r="1900" spans="2:14" x14ac:dyDescent="0.2">
      <c r="B1900" s="15"/>
      <c r="C1900" s="6"/>
      <c r="D1900" s="12"/>
      <c r="E1900" s="10" t="str">
        <f t="shared" si="146"/>
        <v/>
      </c>
      <c r="F1900" s="16"/>
      <c r="G1900" s="13"/>
      <c r="H1900" s="6"/>
      <c r="I1900" s="6"/>
      <c r="J1900" s="11" t="str">
        <f t="shared" si="147"/>
        <v/>
      </c>
      <c r="K1900" s="17" t="str">
        <f t="shared" si="148"/>
        <v/>
      </c>
      <c r="L1900" s="18" t="str">
        <f t="shared" si="149"/>
        <v/>
      </c>
      <c r="M1900" s="18" t="str">
        <f>IF(J1900&lt;&gt;-1,"",ROUND(F1900*IFERROR(INDEX(Stocuri!$G$5:$G$204,MATCH(D1900,Coduri,0)),0),2))</f>
        <v/>
      </c>
      <c r="N1900" s="19" t="str">
        <f t="shared" si="150"/>
        <v/>
      </c>
    </row>
    <row r="1901" spans="2:14" x14ac:dyDescent="0.2">
      <c r="B1901" s="15"/>
      <c r="C1901" s="6"/>
      <c r="D1901" s="12"/>
      <c r="E1901" s="10" t="str">
        <f t="shared" si="146"/>
        <v/>
      </c>
      <c r="F1901" s="16"/>
      <c r="G1901" s="13"/>
      <c r="H1901" s="6"/>
      <c r="I1901" s="6"/>
      <c r="J1901" s="11" t="str">
        <f t="shared" si="147"/>
        <v/>
      </c>
      <c r="K1901" s="17" t="str">
        <f t="shared" si="148"/>
        <v/>
      </c>
      <c r="L1901" s="18" t="str">
        <f t="shared" si="149"/>
        <v/>
      </c>
      <c r="M1901" s="18" t="str">
        <f>IF(J1901&lt;&gt;-1,"",ROUND(F1901*IFERROR(INDEX(Stocuri!$G$5:$G$204,MATCH(D1901,Coduri,0)),0),2))</f>
        <v/>
      </c>
      <c r="N1901" s="19" t="str">
        <f t="shared" si="150"/>
        <v/>
      </c>
    </row>
    <row r="1902" spans="2:14" x14ac:dyDescent="0.2">
      <c r="B1902" s="15"/>
      <c r="C1902" s="6"/>
      <c r="D1902" s="12"/>
      <c r="E1902" s="10" t="str">
        <f t="shared" si="146"/>
        <v/>
      </c>
      <c r="F1902" s="16"/>
      <c r="G1902" s="13"/>
      <c r="H1902" s="6"/>
      <c r="I1902" s="6"/>
      <c r="J1902" s="11" t="str">
        <f t="shared" si="147"/>
        <v/>
      </c>
      <c r="K1902" s="17" t="str">
        <f t="shared" si="148"/>
        <v/>
      </c>
      <c r="L1902" s="18" t="str">
        <f t="shared" si="149"/>
        <v/>
      </c>
      <c r="M1902" s="18" t="str">
        <f>IF(J1902&lt;&gt;-1,"",ROUND(F1902*IFERROR(INDEX(Stocuri!$G$5:$G$204,MATCH(D1902,Coduri,0)),0),2))</f>
        <v/>
      </c>
      <c r="N1902" s="19" t="str">
        <f t="shared" si="150"/>
        <v/>
      </c>
    </row>
    <row r="1903" spans="2:14" x14ac:dyDescent="0.2">
      <c r="B1903" s="15"/>
      <c r="C1903" s="6"/>
      <c r="D1903" s="12"/>
      <c r="E1903" s="10" t="str">
        <f t="shared" si="146"/>
        <v/>
      </c>
      <c r="F1903" s="16"/>
      <c r="G1903" s="13"/>
      <c r="H1903" s="6"/>
      <c r="I1903" s="6"/>
      <c r="J1903" s="11" t="str">
        <f t="shared" si="147"/>
        <v/>
      </c>
      <c r="K1903" s="17" t="str">
        <f t="shared" si="148"/>
        <v/>
      </c>
      <c r="L1903" s="18" t="str">
        <f t="shared" si="149"/>
        <v/>
      </c>
      <c r="M1903" s="18" t="str">
        <f>IF(J1903&lt;&gt;-1,"",ROUND(F1903*IFERROR(INDEX(Stocuri!$G$5:$G$204,MATCH(D1903,Coduri,0)),0),2))</f>
        <v/>
      </c>
      <c r="N1903" s="19" t="str">
        <f t="shared" si="150"/>
        <v/>
      </c>
    </row>
    <row r="1904" spans="2:14" x14ac:dyDescent="0.2">
      <c r="B1904" s="15"/>
      <c r="C1904" s="6"/>
      <c r="D1904" s="12"/>
      <c r="E1904" s="10" t="str">
        <f t="shared" si="146"/>
        <v/>
      </c>
      <c r="F1904" s="16"/>
      <c r="G1904" s="13"/>
      <c r="H1904" s="6"/>
      <c r="I1904" s="6"/>
      <c r="J1904" s="11" t="str">
        <f t="shared" si="147"/>
        <v/>
      </c>
      <c r="K1904" s="17" t="str">
        <f t="shared" si="148"/>
        <v/>
      </c>
      <c r="L1904" s="18" t="str">
        <f t="shared" si="149"/>
        <v/>
      </c>
      <c r="M1904" s="18" t="str">
        <f>IF(J1904&lt;&gt;-1,"",ROUND(F1904*IFERROR(INDEX(Stocuri!$G$5:$G$204,MATCH(D1904,Coduri,0)),0),2))</f>
        <v/>
      </c>
      <c r="N1904" s="19" t="str">
        <f t="shared" si="150"/>
        <v/>
      </c>
    </row>
    <row r="1905" spans="2:14" x14ac:dyDescent="0.2">
      <c r="B1905" s="15"/>
      <c r="C1905" s="6"/>
      <c r="D1905" s="12"/>
      <c r="E1905" s="10" t="str">
        <f t="shared" si="146"/>
        <v/>
      </c>
      <c r="F1905" s="16"/>
      <c r="G1905" s="13"/>
      <c r="H1905" s="6"/>
      <c r="I1905" s="6"/>
      <c r="J1905" s="11" t="str">
        <f t="shared" si="147"/>
        <v/>
      </c>
      <c r="K1905" s="17" t="str">
        <f t="shared" si="148"/>
        <v/>
      </c>
      <c r="L1905" s="18" t="str">
        <f t="shared" si="149"/>
        <v/>
      </c>
      <c r="M1905" s="18" t="str">
        <f>IF(J1905&lt;&gt;-1,"",ROUND(F1905*IFERROR(INDEX(Stocuri!$G$5:$G$204,MATCH(D1905,Coduri,0)),0),2))</f>
        <v/>
      </c>
      <c r="N1905" s="19" t="str">
        <f t="shared" si="150"/>
        <v/>
      </c>
    </row>
    <row r="1906" spans="2:14" x14ac:dyDescent="0.2">
      <c r="B1906" s="15"/>
      <c r="C1906" s="6"/>
      <c r="D1906" s="12"/>
      <c r="E1906" s="10" t="str">
        <f t="shared" si="146"/>
        <v/>
      </c>
      <c r="F1906" s="16"/>
      <c r="G1906" s="13"/>
      <c r="H1906" s="6"/>
      <c r="I1906" s="6"/>
      <c r="J1906" s="11" t="str">
        <f t="shared" si="147"/>
        <v/>
      </c>
      <c r="K1906" s="17" t="str">
        <f t="shared" si="148"/>
        <v/>
      </c>
      <c r="L1906" s="18" t="str">
        <f t="shared" si="149"/>
        <v/>
      </c>
      <c r="M1906" s="18" t="str">
        <f>IF(J1906&lt;&gt;-1,"",ROUND(F1906*IFERROR(INDEX(Stocuri!$G$5:$G$204,MATCH(D1906,Coduri,0)),0),2))</f>
        <v/>
      </c>
      <c r="N1906" s="19" t="str">
        <f t="shared" si="150"/>
        <v/>
      </c>
    </row>
    <row r="1907" spans="2:14" x14ac:dyDescent="0.2">
      <c r="B1907" s="15"/>
      <c r="C1907" s="6"/>
      <c r="D1907" s="12"/>
      <c r="E1907" s="10" t="str">
        <f t="shared" si="146"/>
        <v/>
      </c>
      <c r="F1907" s="16"/>
      <c r="G1907" s="13"/>
      <c r="H1907" s="6"/>
      <c r="I1907" s="6"/>
      <c r="J1907" s="11" t="str">
        <f t="shared" si="147"/>
        <v/>
      </c>
      <c r="K1907" s="17" t="str">
        <f t="shared" si="148"/>
        <v/>
      </c>
      <c r="L1907" s="18" t="str">
        <f t="shared" si="149"/>
        <v/>
      </c>
      <c r="M1907" s="18" t="str">
        <f>IF(J1907&lt;&gt;-1,"",ROUND(F1907*IFERROR(INDEX(Stocuri!$G$5:$G$204,MATCH(D1907,Coduri,0)),0),2))</f>
        <v/>
      </c>
      <c r="N1907" s="19" t="str">
        <f t="shared" si="150"/>
        <v/>
      </c>
    </row>
    <row r="1908" spans="2:14" x14ac:dyDescent="0.2">
      <c r="B1908" s="15"/>
      <c r="C1908" s="6"/>
      <c r="D1908" s="12"/>
      <c r="E1908" s="10" t="str">
        <f t="shared" si="146"/>
        <v/>
      </c>
      <c r="F1908" s="16"/>
      <c r="G1908" s="13"/>
      <c r="H1908" s="6"/>
      <c r="I1908" s="6"/>
      <c r="J1908" s="11" t="str">
        <f t="shared" si="147"/>
        <v/>
      </c>
      <c r="K1908" s="17" t="str">
        <f t="shared" si="148"/>
        <v/>
      </c>
      <c r="L1908" s="18" t="str">
        <f t="shared" si="149"/>
        <v/>
      </c>
      <c r="M1908" s="18" t="str">
        <f>IF(J1908&lt;&gt;-1,"",ROUND(F1908*IFERROR(INDEX(Stocuri!$G$5:$G$204,MATCH(D1908,Coduri,0)),0),2))</f>
        <v/>
      </c>
      <c r="N1908" s="19" t="str">
        <f t="shared" si="150"/>
        <v/>
      </c>
    </row>
    <row r="1909" spans="2:14" x14ac:dyDescent="0.2">
      <c r="B1909" s="15"/>
      <c r="C1909" s="6"/>
      <c r="D1909" s="12"/>
      <c r="E1909" s="10" t="str">
        <f t="shared" si="146"/>
        <v/>
      </c>
      <c r="F1909" s="16"/>
      <c r="G1909" s="13"/>
      <c r="H1909" s="6"/>
      <c r="I1909" s="6"/>
      <c r="J1909" s="11" t="str">
        <f t="shared" si="147"/>
        <v/>
      </c>
      <c r="K1909" s="17" t="str">
        <f t="shared" si="148"/>
        <v/>
      </c>
      <c r="L1909" s="18" t="str">
        <f t="shared" si="149"/>
        <v/>
      </c>
      <c r="M1909" s="18" t="str">
        <f>IF(J1909&lt;&gt;-1,"",ROUND(F1909*IFERROR(INDEX(Stocuri!$G$5:$G$204,MATCH(D1909,Coduri,0)),0),2))</f>
        <v/>
      </c>
      <c r="N1909" s="19" t="str">
        <f t="shared" si="150"/>
        <v/>
      </c>
    </row>
    <row r="1910" spans="2:14" x14ac:dyDescent="0.2">
      <c r="B1910" s="15"/>
      <c r="C1910" s="6"/>
      <c r="D1910" s="12"/>
      <c r="E1910" s="10" t="str">
        <f t="shared" si="146"/>
        <v/>
      </c>
      <c r="F1910" s="16"/>
      <c r="G1910" s="13"/>
      <c r="H1910" s="6"/>
      <c r="I1910" s="6"/>
      <c r="J1910" s="11" t="str">
        <f t="shared" si="147"/>
        <v/>
      </c>
      <c r="K1910" s="17" t="str">
        <f t="shared" si="148"/>
        <v/>
      </c>
      <c r="L1910" s="18" t="str">
        <f t="shared" si="149"/>
        <v/>
      </c>
      <c r="M1910" s="18" t="str">
        <f>IF(J1910&lt;&gt;-1,"",ROUND(F1910*IFERROR(INDEX(Stocuri!$G$5:$G$204,MATCH(D1910,Coduri,0)),0),2))</f>
        <v/>
      </c>
      <c r="N1910" s="19" t="str">
        <f t="shared" si="150"/>
        <v/>
      </c>
    </row>
    <row r="1911" spans="2:14" x14ac:dyDescent="0.2">
      <c r="B1911" s="15"/>
      <c r="C1911" s="6"/>
      <c r="D1911" s="12"/>
      <c r="E1911" s="10" t="str">
        <f t="shared" si="146"/>
        <v/>
      </c>
      <c r="F1911" s="16"/>
      <c r="G1911" s="13"/>
      <c r="H1911" s="6"/>
      <c r="I1911" s="6"/>
      <c r="J1911" s="11" t="str">
        <f t="shared" si="147"/>
        <v/>
      </c>
      <c r="K1911" s="17" t="str">
        <f t="shared" si="148"/>
        <v/>
      </c>
      <c r="L1911" s="18" t="str">
        <f t="shared" si="149"/>
        <v/>
      </c>
      <c r="M1911" s="18" t="str">
        <f>IF(J1911&lt;&gt;-1,"",ROUND(F1911*IFERROR(INDEX(Stocuri!$G$5:$G$204,MATCH(D1911,Coduri,0)),0),2))</f>
        <v/>
      </c>
      <c r="N1911" s="19" t="str">
        <f t="shared" si="150"/>
        <v/>
      </c>
    </row>
    <row r="1912" spans="2:14" x14ac:dyDescent="0.2">
      <c r="B1912" s="15"/>
      <c r="C1912" s="6"/>
      <c r="D1912" s="12"/>
      <c r="E1912" s="10" t="str">
        <f t="shared" si="146"/>
        <v/>
      </c>
      <c r="F1912" s="16"/>
      <c r="G1912" s="13"/>
      <c r="H1912" s="6"/>
      <c r="I1912" s="6"/>
      <c r="J1912" s="11" t="str">
        <f t="shared" si="147"/>
        <v/>
      </c>
      <c r="K1912" s="17" t="str">
        <f t="shared" si="148"/>
        <v/>
      </c>
      <c r="L1912" s="18" t="str">
        <f t="shared" si="149"/>
        <v/>
      </c>
      <c r="M1912" s="18" t="str">
        <f>IF(J1912&lt;&gt;-1,"",ROUND(F1912*IFERROR(INDEX(Stocuri!$G$5:$G$204,MATCH(D1912,Coduri,0)),0),2))</f>
        <v/>
      </c>
      <c r="N1912" s="19" t="str">
        <f t="shared" si="150"/>
        <v/>
      </c>
    </row>
    <row r="1913" spans="2:14" x14ac:dyDescent="0.2">
      <c r="B1913" s="15"/>
      <c r="C1913" s="6"/>
      <c r="D1913" s="12"/>
      <c r="E1913" s="10" t="str">
        <f t="shared" si="146"/>
        <v/>
      </c>
      <c r="F1913" s="16"/>
      <c r="G1913" s="13"/>
      <c r="H1913" s="6"/>
      <c r="I1913" s="6"/>
      <c r="J1913" s="11" t="str">
        <f t="shared" si="147"/>
        <v/>
      </c>
      <c r="K1913" s="17" t="str">
        <f t="shared" si="148"/>
        <v/>
      </c>
      <c r="L1913" s="18" t="str">
        <f t="shared" si="149"/>
        <v/>
      </c>
      <c r="M1913" s="18" t="str">
        <f>IF(J1913&lt;&gt;-1,"",ROUND(F1913*IFERROR(INDEX(Stocuri!$G$5:$G$204,MATCH(D1913,Coduri,0)),0),2))</f>
        <v/>
      </c>
      <c r="N1913" s="19" t="str">
        <f t="shared" si="150"/>
        <v/>
      </c>
    </row>
    <row r="1914" spans="2:14" x14ac:dyDescent="0.2">
      <c r="B1914" s="15"/>
      <c r="C1914" s="6"/>
      <c r="D1914" s="12"/>
      <c r="E1914" s="10" t="str">
        <f t="shared" si="146"/>
        <v/>
      </c>
      <c r="F1914" s="16"/>
      <c r="G1914" s="13"/>
      <c r="H1914" s="6"/>
      <c r="I1914" s="6"/>
      <c r="J1914" s="11" t="str">
        <f t="shared" si="147"/>
        <v/>
      </c>
      <c r="K1914" s="17" t="str">
        <f t="shared" si="148"/>
        <v/>
      </c>
      <c r="L1914" s="18" t="str">
        <f t="shared" si="149"/>
        <v/>
      </c>
      <c r="M1914" s="18" t="str">
        <f>IF(J1914&lt;&gt;-1,"",ROUND(F1914*IFERROR(INDEX(Stocuri!$G$5:$G$204,MATCH(D1914,Coduri,0)),0),2))</f>
        <v/>
      </c>
      <c r="N1914" s="19" t="str">
        <f t="shared" si="150"/>
        <v/>
      </c>
    </row>
    <row r="1915" spans="2:14" x14ac:dyDescent="0.2">
      <c r="B1915" s="15"/>
      <c r="C1915" s="6"/>
      <c r="D1915" s="12"/>
      <c r="E1915" s="10" t="str">
        <f t="shared" si="146"/>
        <v/>
      </c>
      <c r="F1915" s="16"/>
      <c r="G1915" s="13"/>
      <c r="H1915" s="6"/>
      <c r="I1915" s="6"/>
      <c r="J1915" s="11" t="str">
        <f t="shared" si="147"/>
        <v/>
      </c>
      <c r="K1915" s="17" t="str">
        <f t="shared" si="148"/>
        <v/>
      </c>
      <c r="L1915" s="18" t="str">
        <f t="shared" si="149"/>
        <v/>
      </c>
      <c r="M1915" s="18" t="str">
        <f>IF(J1915&lt;&gt;-1,"",ROUND(F1915*IFERROR(INDEX(Stocuri!$G$5:$G$204,MATCH(D1915,Coduri,0)),0),2))</f>
        <v/>
      </c>
      <c r="N1915" s="19" t="str">
        <f t="shared" si="150"/>
        <v/>
      </c>
    </row>
    <row r="1916" spans="2:14" x14ac:dyDescent="0.2">
      <c r="B1916" s="15"/>
      <c r="C1916" s="6"/>
      <c r="D1916" s="12"/>
      <c r="E1916" s="10" t="str">
        <f t="shared" si="146"/>
        <v/>
      </c>
      <c r="F1916" s="16"/>
      <c r="G1916" s="13"/>
      <c r="H1916" s="6"/>
      <c r="I1916" s="6"/>
      <c r="J1916" s="11" t="str">
        <f t="shared" si="147"/>
        <v/>
      </c>
      <c r="K1916" s="17" t="str">
        <f t="shared" si="148"/>
        <v/>
      </c>
      <c r="L1916" s="18" t="str">
        <f t="shared" si="149"/>
        <v/>
      </c>
      <c r="M1916" s="18" t="str">
        <f>IF(J1916&lt;&gt;-1,"",ROUND(F1916*IFERROR(INDEX(Stocuri!$G$5:$G$204,MATCH(D1916,Coduri,0)),0),2))</f>
        <v/>
      </c>
      <c r="N1916" s="19" t="str">
        <f t="shared" si="150"/>
        <v/>
      </c>
    </row>
    <row r="1917" spans="2:14" x14ac:dyDescent="0.2">
      <c r="B1917" s="15"/>
      <c r="C1917" s="6"/>
      <c r="D1917" s="12"/>
      <c r="E1917" s="10" t="str">
        <f t="shared" si="146"/>
        <v/>
      </c>
      <c r="F1917" s="16"/>
      <c r="G1917" s="13"/>
      <c r="H1917" s="6"/>
      <c r="I1917" s="6"/>
      <c r="J1917" s="11" t="str">
        <f t="shared" si="147"/>
        <v/>
      </c>
      <c r="K1917" s="17" t="str">
        <f t="shared" si="148"/>
        <v/>
      </c>
      <c r="L1917" s="18" t="str">
        <f t="shared" si="149"/>
        <v/>
      </c>
      <c r="M1917" s="18" t="str">
        <f>IF(J1917&lt;&gt;-1,"",ROUND(F1917*IFERROR(INDEX(Stocuri!$G$5:$G$204,MATCH(D1917,Coduri,0)),0),2))</f>
        <v/>
      </c>
      <c r="N1917" s="19" t="str">
        <f t="shared" si="150"/>
        <v/>
      </c>
    </row>
    <row r="1918" spans="2:14" x14ac:dyDescent="0.2">
      <c r="B1918" s="15"/>
      <c r="C1918" s="6"/>
      <c r="D1918" s="12"/>
      <c r="E1918" s="10" t="str">
        <f t="shared" si="146"/>
        <v/>
      </c>
      <c r="F1918" s="16"/>
      <c r="G1918" s="13"/>
      <c r="H1918" s="6"/>
      <c r="I1918" s="6"/>
      <c r="J1918" s="11" t="str">
        <f t="shared" si="147"/>
        <v/>
      </c>
      <c r="K1918" s="17" t="str">
        <f t="shared" si="148"/>
        <v/>
      </c>
      <c r="L1918" s="18" t="str">
        <f t="shared" si="149"/>
        <v/>
      </c>
      <c r="M1918" s="18" t="str">
        <f>IF(J1918&lt;&gt;-1,"",ROUND(F1918*IFERROR(INDEX(Stocuri!$G$5:$G$204,MATCH(D1918,Coduri,0)),0),2))</f>
        <v/>
      </c>
      <c r="N1918" s="19" t="str">
        <f t="shared" si="150"/>
        <v/>
      </c>
    </row>
    <row r="1919" spans="2:14" x14ac:dyDescent="0.2">
      <c r="B1919" s="15"/>
      <c r="C1919" s="6"/>
      <c r="D1919" s="12"/>
      <c r="E1919" s="10" t="str">
        <f t="shared" si="146"/>
        <v/>
      </c>
      <c r="F1919" s="16"/>
      <c r="G1919" s="13"/>
      <c r="H1919" s="6"/>
      <c r="I1919" s="6"/>
      <c r="J1919" s="11" t="str">
        <f t="shared" si="147"/>
        <v/>
      </c>
      <c r="K1919" s="17" t="str">
        <f t="shared" si="148"/>
        <v/>
      </c>
      <c r="L1919" s="18" t="str">
        <f t="shared" si="149"/>
        <v/>
      </c>
      <c r="M1919" s="18" t="str">
        <f>IF(J1919&lt;&gt;-1,"",ROUND(F1919*IFERROR(INDEX(Stocuri!$G$5:$G$204,MATCH(D1919,Coduri,0)),0),2))</f>
        <v/>
      </c>
      <c r="N1919" s="19" t="str">
        <f t="shared" si="150"/>
        <v/>
      </c>
    </row>
    <row r="1920" spans="2:14" x14ac:dyDescent="0.2">
      <c r="B1920" s="15"/>
      <c r="C1920" s="6"/>
      <c r="D1920" s="12"/>
      <c r="E1920" s="10" t="str">
        <f t="shared" si="146"/>
        <v/>
      </c>
      <c r="F1920" s="16"/>
      <c r="G1920" s="13"/>
      <c r="H1920" s="6"/>
      <c r="I1920" s="6"/>
      <c r="J1920" s="11" t="str">
        <f t="shared" si="147"/>
        <v/>
      </c>
      <c r="K1920" s="17" t="str">
        <f t="shared" si="148"/>
        <v/>
      </c>
      <c r="L1920" s="18" t="str">
        <f t="shared" si="149"/>
        <v/>
      </c>
      <c r="M1920" s="18" t="str">
        <f>IF(J1920&lt;&gt;-1,"",ROUND(F1920*IFERROR(INDEX(Stocuri!$G$5:$G$204,MATCH(D1920,Coduri,0)),0),2))</f>
        <v/>
      </c>
      <c r="N1920" s="19" t="str">
        <f t="shared" si="150"/>
        <v/>
      </c>
    </row>
    <row r="1921" spans="2:14" x14ac:dyDescent="0.2">
      <c r="B1921" s="15"/>
      <c r="C1921" s="6"/>
      <c r="D1921" s="12"/>
      <c r="E1921" s="10" t="str">
        <f t="shared" si="146"/>
        <v/>
      </c>
      <c r="F1921" s="16"/>
      <c r="G1921" s="13"/>
      <c r="H1921" s="6"/>
      <c r="I1921" s="6"/>
      <c r="J1921" s="11" t="str">
        <f t="shared" si="147"/>
        <v/>
      </c>
      <c r="K1921" s="17" t="str">
        <f t="shared" si="148"/>
        <v/>
      </c>
      <c r="L1921" s="18" t="str">
        <f t="shared" si="149"/>
        <v/>
      </c>
      <c r="M1921" s="18" t="str">
        <f>IF(J1921&lt;&gt;-1,"",ROUND(F1921*IFERROR(INDEX(Stocuri!$G$5:$G$204,MATCH(D1921,Coduri,0)),0),2))</f>
        <v/>
      </c>
      <c r="N1921" s="19" t="str">
        <f t="shared" si="150"/>
        <v/>
      </c>
    </row>
    <row r="1922" spans="2:14" x14ac:dyDescent="0.2">
      <c r="B1922" s="15"/>
      <c r="C1922" s="6"/>
      <c r="D1922" s="12"/>
      <c r="E1922" s="10" t="str">
        <f t="shared" si="146"/>
        <v/>
      </c>
      <c r="F1922" s="16"/>
      <c r="G1922" s="13"/>
      <c r="H1922" s="6"/>
      <c r="I1922" s="6"/>
      <c r="J1922" s="11" t="str">
        <f t="shared" si="147"/>
        <v/>
      </c>
      <c r="K1922" s="17" t="str">
        <f t="shared" si="148"/>
        <v/>
      </c>
      <c r="L1922" s="18" t="str">
        <f t="shared" si="149"/>
        <v/>
      </c>
      <c r="M1922" s="18" t="str">
        <f>IF(J1922&lt;&gt;-1,"",ROUND(F1922*IFERROR(INDEX(Stocuri!$G$5:$G$204,MATCH(D1922,Coduri,0)),0),2))</f>
        <v/>
      </c>
      <c r="N1922" s="19" t="str">
        <f t="shared" si="150"/>
        <v/>
      </c>
    </row>
    <row r="1923" spans="2:14" x14ac:dyDescent="0.2">
      <c r="B1923" s="15"/>
      <c r="C1923" s="6"/>
      <c r="D1923" s="12"/>
      <c r="E1923" s="10" t="str">
        <f t="shared" si="146"/>
        <v/>
      </c>
      <c r="F1923" s="16"/>
      <c r="G1923" s="13"/>
      <c r="H1923" s="6"/>
      <c r="I1923" s="6"/>
      <c r="J1923" s="11" t="str">
        <f t="shared" si="147"/>
        <v/>
      </c>
      <c r="K1923" s="17" t="str">
        <f t="shared" si="148"/>
        <v/>
      </c>
      <c r="L1923" s="18" t="str">
        <f t="shared" si="149"/>
        <v/>
      </c>
      <c r="M1923" s="18" t="str">
        <f>IF(J1923&lt;&gt;-1,"",ROUND(F1923*IFERROR(INDEX(Stocuri!$G$5:$G$204,MATCH(D1923,Coduri,0)),0),2))</f>
        <v/>
      </c>
      <c r="N1923" s="19" t="str">
        <f t="shared" si="150"/>
        <v/>
      </c>
    </row>
    <row r="1924" spans="2:14" x14ac:dyDescent="0.2">
      <c r="B1924" s="15"/>
      <c r="C1924" s="6"/>
      <c r="D1924" s="12"/>
      <c r="E1924" s="10" t="str">
        <f t="shared" si="146"/>
        <v/>
      </c>
      <c r="F1924" s="16"/>
      <c r="G1924" s="13"/>
      <c r="H1924" s="6"/>
      <c r="I1924" s="6"/>
      <c r="J1924" s="11" t="str">
        <f t="shared" si="147"/>
        <v/>
      </c>
      <c r="K1924" s="17" t="str">
        <f t="shared" si="148"/>
        <v/>
      </c>
      <c r="L1924" s="18" t="str">
        <f t="shared" si="149"/>
        <v/>
      </c>
      <c r="M1924" s="18" t="str">
        <f>IF(J1924&lt;&gt;-1,"",ROUND(F1924*IFERROR(INDEX(Stocuri!$G$5:$G$204,MATCH(D1924,Coduri,0)),0),2))</f>
        <v/>
      </c>
      <c r="N1924" s="19" t="str">
        <f t="shared" si="150"/>
        <v/>
      </c>
    </row>
    <row r="1925" spans="2:14" x14ac:dyDescent="0.2">
      <c r="B1925" s="15"/>
      <c r="C1925" s="6"/>
      <c r="D1925" s="12"/>
      <c r="E1925" s="10" t="str">
        <f t="shared" ref="E1925:E1988" si="151">IF(D1925="","",IFERROR(VLOOKUP(D1925,Catalog,2,FALSE),""))</f>
        <v/>
      </c>
      <c r="F1925" s="16"/>
      <c r="G1925" s="13"/>
      <c r="H1925" s="6"/>
      <c r="I1925" s="6"/>
      <c r="J1925" s="11" t="str">
        <f t="shared" ref="J1925:J1988" si="152">IF(C1925="","",IFERROR(VLOOKUP(C1925,TipSemn,2,FALSE),""))</f>
        <v/>
      </c>
      <c r="K1925" s="17" t="str">
        <f t="shared" ref="K1925:K1988" si="153">IF(OR(J1925="",F1925=""),"",J1925*F1925)</f>
        <v/>
      </c>
      <c r="L1925" s="18" t="str">
        <f t="shared" ref="L1925:L1988" si="154">IF(OR(J1925&lt;&gt;1,G1925=""),"",ROUND(F1925*G1925,2))</f>
        <v/>
      </c>
      <c r="M1925" s="18" t="str">
        <f>IF(J1925&lt;&gt;-1,"",ROUND(F1925*IFERROR(INDEX(Stocuri!$G$5:$G$204,MATCH(D1925,Coduri,0)),0),2))</f>
        <v/>
      </c>
      <c r="N1925" s="19" t="str">
        <f t="shared" ref="N1925:N1988" si="155">IF(AND(B1925="",D1925=""),"",TRIM(IF(OR(B1925="",C1925="",D1925="",F1925=""),"Date incomplete. ","")&amp;IF(AND(D1925&lt;&gt;"",E1925=""),"Cod necunoscut. ","")&amp;IF(AND(J1925=1,C1925&lt;&gt;"Retur de la client",C1925&lt;&gt;"Ajustare inventar +",G1925=""),"Lipsește prețul de intrare. ","")&amp;IF(AND(J1925=-1,D1925&lt;&gt;"",SUMIFS($K$5:$K$2004,$D$5:$D$2004,D1925,$B$5:$B$2004,"&lt;="&amp;B1925)&lt;0),"Stoc insuficient la această dată. ","")&amp;IF(AND(C1925&lt;&gt;"Stoc inițial",H1925=""),"Lipsește documentul. ","")))</f>
        <v/>
      </c>
    </row>
    <row r="1926" spans="2:14" x14ac:dyDescent="0.2">
      <c r="B1926" s="15"/>
      <c r="C1926" s="6"/>
      <c r="D1926" s="12"/>
      <c r="E1926" s="10" t="str">
        <f t="shared" si="151"/>
        <v/>
      </c>
      <c r="F1926" s="16"/>
      <c r="G1926" s="13"/>
      <c r="H1926" s="6"/>
      <c r="I1926" s="6"/>
      <c r="J1926" s="11" t="str">
        <f t="shared" si="152"/>
        <v/>
      </c>
      <c r="K1926" s="17" t="str">
        <f t="shared" si="153"/>
        <v/>
      </c>
      <c r="L1926" s="18" t="str">
        <f t="shared" si="154"/>
        <v/>
      </c>
      <c r="M1926" s="18" t="str">
        <f>IF(J1926&lt;&gt;-1,"",ROUND(F1926*IFERROR(INDEX(Stocuri!$G$5:$G$204,MATCH(D1926,Coduri,0)),0),2))</f>
        <v/>
      </c>
      <c r="N1926" s="19" t="str">
        <f t="shared" si="155"/>
        <v/>
      </c>
    </row>
    <row r="1927" spans="2:14" x14ac:dyDescent="0.2">
      <c r="B1927" s="15"/>
      <c r="C1927" s="6"/>
      <c r="D1927" s="12"/>
      <c r="E1927" s="10" t="str">
        <f t="shared" si="151"/>
        <v/>
      </c>
      <c r="F1927" s="16"/>
      <c r="G1927" s="13"/>
      <c r="H1927" s="6"/>
      <c r="I1927" s="6"/>
      <c r="J1927" s="11" t="str">
        <f t="shared" si="152"/>
        <v/>
      </c>
      <c r="K1927" s="17" t="str">
        <f t="shared" si="153"/>
        <v/>
      </c>
      <c r="L1927" s="18" t="str">
        <f t="shared" si="154"/>
        <v/>
      </c>
      <c r="M1927" s="18" t="str">
        <f>IF(J1927&lt;&gt;-1,"",ROUND(F1927*IFERROR(INDEX(Stocuri!$G$5:$G$204,MATCH(D1927,Coduri,0)),0),2))</f>
        <v/>
      </c>
      <c r="N1927" s="19" t="str">
        <f t="shared" si="155"/>
        <v/>
      </c>
    </row>
    <row r="1928" spans="2:14" x14ac:dyDescent="0.2">
      <c r="B1928" s="15"/>
      <c r="C1928" s="6"/>
      <c r="D1928" s="12"/>
      <c r="E1928" s="10" t="str">
        <f t="shared" si="151"/>
        <v/>
      </c>
      <c r="F1928" s="16"/>
      <c r="G1928" s="13"/>
      <c r="H1928" s="6"/>
      <c r="I1928" s="6"/>
      <c r="J1928" s="11" t="str">
        <f t="shared" si="152"/>
        <v/>
      </c>
      <c r="K1928" s="17" t="str">
        <f t="shared" si="153"/>
        <v/>
      </c>
      <c r="L1928" s="18" t="str">
        <f t="shared" si="154"/>
        <v/>
      </c>
      <c r="M1928" s="18" t="str">
        <f>IF(J1928&lt;&gt;-1,"",ROUND(F1928*IFERROR(INDEX(Stocuri!$G$5:$G$204,MATCH(D1928,Coduri,0)),0),2))</f>
        <v/>
      </c>
      <c r="N1928" s="19" t="str">
        <f t="shared" si="155"/>
        <v/>
      </c>
    </row>
    <row r="1929" spans="2:14" x14ac:dyDescent="0.2">
      <c r="B1929" s="15"/>
      <c r="C1929" s="6"/>
      <c r="D1929" s="12"/>
      <c r="E1929" s="10" t="str">
        <f t="shared" si="151"/>
        <v/>
      </c>
      <c r="F1929" s="16"/>
      <c r="G1929" s="13"/>
      <c r="H1929" s="6"/>
      <c r="I1929" s="6"/>
      <c r="J1929" s="11" t="str">
        <f t="shared" si="152"/>
        <v/>
      </c>
      <c r="K1929" s="17" t="str">
        <f t="shared" si="153"/>
        <v/>
      </c>
      <c r="L1929" s="18" t="str">
        <f t="shared" si="154"/>
        <v/>
      </c>
      <c r="M1929" s="18" t="str">
        <f>IF(J1929&lt;&gt;-1,"",ROUND(F1929*IFERROR(INDEX(Stocuri!$G$5:$G$204,MATCH(D1929,Coduri,0)),0),2))</f>
        <v/>
      </c>
      <c r="N1929" s="19" t="str">
        <f t="shared" si="155"/>
        <v/>
      </c>
    </row>
    <row r="1930" spans="2:14" x14ac:dyDescent="0.2">
      <c r="B1930" s="15"/>
      <c r="C1930" s="6"/>
      <c r="D1930" s="12"/>
      <c r="E1930" s="10" t="str">
        <f t="shared" si="151"/>
        <v/>
      </c>
      <c r="F1930" s="16"/>
      <c r="G1930" s="13"/>
      <c r="H1930" s="6"/>
      <c r="I1930" s="6"/>
      <c r="J1930" s="11" t="str">
        <f t="shared" si="152"/>
        <v/>
      </c>
      <c r="K1930" s="17" t="str">
        <f t="shared" si="153"/>
        <v/>
      </c>
      <c r="L1930" s="18" t="str">
        <f t="shared" si="154"/>
        <v/>
      </c>
      <c r="M1930" s="18" t="str">
        <f>IF(J1930&lt;&gt;-1,"",ROUND(F1930*IFERROR(INDEX(Stocuri!$G$5:$G$204,MATCH(D1930,Coduri,0)),0),2))</f>
        <v/>
      </c>
      <c r="N1930" s="19" t="str">
        <f t="shared" si="155"/>
        <v/>
      </c>
    </row>
    <row r="1931" spans="2:14" x14ac:dyDescent="0.2">
      <c r="B1931" s="15"/>
      <c r="C1931" s="6"/>
      <c r="D1931" s="12"/>
      <c r="E1931" s="10" t="str">
        <f t="shared" si="151"/>
        <v/>
      </c>
      <c r="F1931" s="16"/>
      <c r="G1931" s="13"/>
      <c r="H1931" s="6"/>
      <c r="I1931" s="6"/>
      <c r="J1931" s="11" t="str">
        <f t="shared" si="152"/>
        <v/>
      </c>
      <c r="K1931" s="17" t="str">
        <f t="shared" si="153"/>
        <v/>
      </c>
      <c r="L1931" s="18" t="str">
        <f t="shared" si="154"/>
        <v/>
      </c>
      <c r="M1931" s="18" t="str">
        <f>IF(J1931&lt;&gt;-1,"",ROUND(F1931*IFERROR(INDEX(Stocuri!$G$5:$G$204,MATCH(D1931,Coduri,0)),0),2))</f>
        <v/>
      </c>
      <c r="N1931" s="19" t="str">
        <f t="shared" si="155"/>
        <v/>
      </c>
    </row>
    <row r="1932" spans="2:14" x14ac:dyDescent="0.2">
      <c r="B1932" s="15"/>
      <c r="C1932" s="6"/>
      <c r="D1932" s="12"/>
      <c r="E1932" s="10" t="str">
        <f t="shared" si="151"/>
        <v/>
      </c>
      <c r="F1932" s="16"/>
      <c r="G1932" s="13"/>
      <c r="H1932" s="6"/>
      <c r="I1932" s="6"/>
      <c r="J1932" s="11" t="str">
        <f t="shared" si="152"/>
        <v/>
      </c>
      <c r="K1932" s="17" t="str">
        <f t="shared" si="153"/>
        <v/>
      </c>
      <c r="L1932" s="18" t="str">
        <f t="shared" si="154"/>
        <v/>
      </c>
      <c r="M1932" s="18" t="str">
        <f>IF(J1932&lt;&gt;-1,"",ROUND(F1932*IFERROR(INDEX(Stocuri!$G$5:$G$204,MATCH(D1932,Coduri,0)),0),2))</f>
        <v/>
      </c>
      <c r="N1932" s="19" t="str">
        <f t="shared" si="155"/>
        <v/>
      </c>
    </row>
    <row r="1933" spans="2:14" x14ac:dyDescent="0.2">
      <c r="B1933" s="15"/>
      <c r="C1933" s="6"/>
      <c r="D1933" s="12"/>
      <c r="E1933" s="10" t="str">
        <f t="shared" si="151"/>
        <v/>
      </c>
      <c r="F1933" s="16"/>
      <c r="G1933" s="13"/>
      <c r="H1933" s="6"/>
      <c r="I1933" s="6"/>
      <c r="J1933" s="11" t="str">
        <f t="shared" si="152"/>
        <v/>
      </c>
      <c r="K1933" s="17" t="str">
        <f t="shared" si="153"/>
        <v/>
      </c>
      <c r="L1933" s="18" t="str">
        <f t="shared" si="154"/>
        <v/>
      </c>
      <c r="M1933" s="18" t="str">
        <f>IF(J1933&lt;&gt;-1,"",ROUND(F1933*IFERROR(INDEX(Stocuri!$G$5:$G$204,MATCH(D1933,Coduri,0)),0),2))</f>
        <v/>
      </c>
      <c r="N1933" s="19" t="str">
        <f t="shared" si="155"/>
        <v/>
      </c>
    </row>
    <row r="1934" spans="2:14" x14ac:dyDescent="0.2">
      <c r="B1934" s="15"/>
      <c r="C1934" s="6"/>
      <c r="D1934" s="12"/>
      <c r="E1934" s="10" t="str">
        <f t="shared" si="151"/>
        <v/>
      </c>
      <c r="F1934" s="16"/>
      <c r="G1934" s="13"/>
      <c r="H1934" s="6"/>
      <c r="I1934" s="6"/>
      <c r="J1934" s="11" t="str">
        <f t="shared" si="152"/>
        <v/>
      </c>
      <c r="K1934" s="17" t="str">
        <f t="shared" si="153"/>
        <v/>
      </c>
      <c r="L1934" s="18" t="str">
        <f t="shared" si="154"/>
        <v/>
      </c>
      <c r="M1934" s="18" t="str">
        <f>IF(J1934&lt;&gt;-1,"",ROUND(F1934*IFERROR(INDEX(Stocuri!$G$5:$G$204,MATCH(D1934,Coduri,0)),0),2))</f>
        <v/>
      </c>
      <c r="N1934" s="19" t="str">
        <f t="shared" si="155"/>
        <v/>
      </c>
    </row>
    <row r="1935" spans="2:14" x14ac:dyDescent="0.2">
      <c r="B1935" s="15"/>
      <c r="C1935" s="6"/>
      <c r="D1935" s="12"/>
      <c r="E1935" s="10" t="str">
        <f t="shared" si="151"/>
        <v/>
      </c>
      <c r="F1935" s="16"/>
      <c r="G1935" s="13"/>
      <c r="H1935" s="6"/>
      <c r="I1935" s="6"/>
      <c r="J1935" s="11" t="str">
        <f t="shared" si="152"/>
        <v/>
      </c>
      <c r="K1935" s="17" t="str">
        <f t="shared" si="153"/>
        <v/>
      </c>
      <c r="L1935" s="18" t="str">
        <f t="shared" si="154"/>
        <v/>
      </c>
      <c r="M1935" s="18" t="str">
        <f>IF(J1935&lt;&gt;-1,"",ROUND(F1935*IFERROR(INDEX(Stocuri!$G$5:$G$204,MATCH(D1935,Coduri,0)),0),2))</f>
        <v/>
      </c>
      <c r="N1935" s="19" t="str">
        <f t="shared" si="155"/>
        <v/>
      </c>
    </row>
    <row r="1936" spans="2:14" x14ac:dyDescent="0.2">
      <c r="B1936" s="15"/>
      <c r="C1936" s="6"/>
      <c r="D1936" s="12"/>
      <c r="E1936" s="10" t="str">
        <f t="shared" si="151"/>
        <v/>
      </c>
      <c r="F1936" s="16"/>
      <c r="G1936" s="13"/>
      <c r="H1936" s="6"/>
      <c r="I1936" s="6"/>
      <c r="J1936" s="11" t="str">
        <f t="shared" si="152"/>
        <v/>
      </c>
      <c r="K1936" s="17" t="str">
        <f t="shared" si="153"/>
        <v/>
      </c>
      <c r="L1936" s="18" t="str">
        <f t="shared" si="154"/>
        <v/>
      </c>
      <c r="M1936" s="18" t="str">
        <f>IF(J1936&lt;&gt;-1,"",ROUND(F1936*IFERROR(INDEX(Stocuri!$G$5:$G$204,MATCH(D1936,Coduri,0)),0),2))</f>
        <v/>
      </c>
      <c r="N1936" s="19" t="str">
        <f t="shared" si="155"/>
        <v/>
      </c>
    </row>
    <row r="1937" spans="2:14" x14ac:dyDescent="0.2">
      <c r="B1937" s="15"/>
      <c r="C1937" s="6"/>
      <c r="D1937" s="12"/>
      <c r="E1937" s="10" t="str">
        <f t="shared" si="151"/>
        <v/>
      </c>
      <c r="F1937" s="16"/>
      <c r="G1937" s="13"/>
      <c r="H1937" s="6"/>
      <c r="I1937" s="6"/>
      <c r="J1937" s="11" t="str">
        <f t="shared" si="152"/>
        <v/>
      </c>
      <c r="K1937" s="17" t="str">
        <f t="shared" si="153"/>
        <v/>
      </c>
      <c r="L1937" s="18" t="str">
        <f t="shared" si="154"/>
        <v/>
      </c>
      <c r="M1937" s="18" t="str">
        <f>IF(J1937&lt;&gt;-1,"",ROUND(F1937*IFERROR(INDEX(Stocuri!$G$5:$G$204,MATCH(D1937,Coduri,0)),0),2))</f>
        <v/>
      </c>
      <c r="N1937" s="19" t="str">
        <f t="shared" si="155"/>
        <v/>
      </c>
    </row>
    <row r="1938" spans="2:14" x14ac:dyDescent="0.2">
      <c r="B1938" s="15"/>
      <c r="C1938" s="6"/>
      <c r="D1938" s="12"/>
      <c r="E1938" s="10" t="str">
        <f t="shared" si="151"/>
        <v/>
      </c>
      <c r="F1938" s="16"/>
      <c r="G1938" s="13"/>
      <c r="H1938" s="6"/>
      <c r="I1938" s="6"/>
      <c r="J1938" s="11" t="str">
        <f t="shared" si="152"/>
        <v/>
      </c>
      <c r="K1938" s="17" t="str">
        <f t="shared" si="153"/>
        <v/>
      </c>
      <c r="L1938" s="18" t="str">
        <f t="shared" si="154"/>
        <v/>
      </c>
      <c r="M1938" s="18" t="str">
        <f>IF(J1938&lt;&gt;-1,"",ROUND(F1938*IFERROR(INDEX(Stocuri!$G$5:$G$204,MATCH(D1938,Coduri,0)),0),2))</f>
        <v/>
      </c>
      <c r="N1938" s="19" t="str">
        <f t="shared" si="155"/>
        <v/>
      </c>
    </row>
    <row r="1939" spans="2:14" x14ac:dyDescent="0.2">
      <c r="B1939" s="15"/>
      <c r="C1939" s="6"/>
      <c r="D1939" s="12"/>
      <c r="E1939" s="10" t="str">
        <f t="shared" si="151"/>
        <v/>
      </c>
      <c r="F1939" s="16"/>
      <c r="G1939" s="13"/>
      <c r="H1939" s="6"/>
      <c r="I1939" s="6"/>
      <c r="J1939" s="11" t="str">
        <f t="shared" si="152"/>
        <v/>
      </c>
      <c r="K1939" s="17" t="str">
        <f t="shared" si="153"/>
        <v/>
      </c>
      <c r="L1939" s="18" t="str">
        <f t="shared" si="154"/>
        <v/>
      </c>
      <c r="M1939" s="18" t="str">
        <f>IF(J1939&lt;&gt;-1,"",ROUND(F1939*IFERROR(INDEX(Stocuri!$G$5:$G$204,MATCH(D1939,Coduri,0)),0),2))</f>
        <v/>
      </c>
      <c r="N1939" s="19" t="str">
        <f t="shared" si="155"/>
        <v/>
      </c>
    </row>
    <row r="1940" spans="2:14" x14ac:dyDescent="0.2">
      <c r="B1940" s="15"/>
      <c r="C1940" s="6"/>
      <c r="D1940" s="12"/>
      <c r="E1940" s="10" t="str">
        <f t="shared" si="151"/>
        <v/>
      </c>
      <c r="F1940" s="16"/>
      <c r="G1940" s="13"/>
      <c r="H1940" s="6"/>
      <c r="I1940" s="6"/>
      <c r="J1940" s="11" t="str">
        <f t="shared" si="152"/>
        <v/>
      </c>
      <c r="K1940" s="17" t="str">
        <f t="shared" si="153"/>
        <v/>
      </c>
      <c r="L1940" s="18" t="str">
        <f t="shared" si="154"/>
        <v/>
      </c>
      <c r="M1940" s="18" t="str">
        <f>IF(J1940&lt;&gt;-1,"",ROUND(F1940*IFERROR(INDEX(Stocuri!$G$5:$G$204,MATCH(D1940,Coduri,0)),0),2))</f>
        <v/>
      </c>
      <c r="N1940" s="19" t="str">
        <f t="shared" si="155"/>
        <v/>
      </c>
    </row>
    <row r="1941" spans="2:14" x14ac:dyDescent="0.2">
      <c r="B1941" s="15"/>
      <c r="C1941" s="6"/>
      <c r="D1941" s="12"/>
      <c r="E1941" s="10" t="str">
        <f t="shared" si="151"/>
        <v/>
      </c>
      <c r="F1941" s="16"/>
      <c r="G1941" s="13"/>
      <c r="H1941" s="6"/>
      <c r="I1941" s="6"/>
      <c r="J1941" s="11" t="str">
        <f t="shared" si="152"/>
        <v/>
      </c>
      <c r="K1941" s="17" t="str">
        <f t="shared" si="153"/>
        <v/>
      </c>
      <c r="L1941" s="18" t="str">
        <f t="shared" si="154"/>
        <v/>
      </c>
      <c r="M1941" s="18" t="str">
        <f>IF(J1941&lt;&gt;-1,"",ROUND(F1941*IFERROR(INDEX(Stocuri!$G$5:$G$204,MATCH(D1941,Coduri,0)),0),2))</f>
        <v/>
      </c>
      <c r="N1941" s="19" t="str">
        <f t="shared" si="155"/>
        <v/>
      </c>
    </row>
    <row r="1942" spans="2:14" x14ac:dyDescent="0.2">
      <c r="B1942" s="15"/>
      <c r="C1942" s="6"/>
      <c r="D1942" s="12"/>
      <c r="E1942" s="10" t="str">
        <f t="shared" si="151"/>
        <v/>
      </c>
      <c r="F1942" s="16"/>
      <c r="G1942" s="13"/>
      <c r="H1942" s="6"/>
      <c r="I1942" s="6"/>
      <c r="J1942" s="11" t="str">
        <f t="shared" si="152"/>
        <v/>
      </c>
      <c r="K1942" s="17" t="str">
        <f t="shared" si="153"/>
        <v/>
      </c>
      <c r="L1942" s="18" t="str">
        <f t="shared" si="154"/>
        <v/>
      </c>
      <c r="M1942" s="18" t="str">
        <f>IF(J1942&lt;&gt;-1,"",ROUND(F1942*IFERROR(INDEX(Stocuri!$G$5:$G$204,MATCH(D1942,Coduri,0)),0),2))</f>
        <v/>
      </c>
      <c r="N1942" s="19" t="str">
        <f t="shared" si="155"/>
        <v/>
      </c>
    </row>
    <row r="1943" spans="2:14" x14ac:dyDescent="0.2">
      <c r="B1943" s="15"/>
      <c r="C1943" s="6"/>
      <c r="D1943" s="12"/>
      <c r="E1943" s="10" t="str">
        <f t="shared" si="151"/>
        <v/>
      </c>
      <c r="F1943" s="16"/>
      <c r="G1943" s="13"/>
      <c r="H1943" s="6"/>
      <c r="I1943" s="6"/>
      <c r="J1943" s="11" t="str">
        <f t="shared" si="152"/>
        <v/>
      </c>
      <c r="K1943" s="17" t="str">
        <f t="shared" si="153"/>
        <v/>
      </c>
      <c r="L1943" s="18" t="str">
        <f t="shared" si="154"/>
        <v/>
      </c>
      <c r="M1943" s="18" t="str">
        <f>IF(J1943&lt;&gt;-1,"",ROUND(F1943*IFERROR(INDEX(Stocuri!$G$5:$G$204,MATCH(D1943,Coduri,0)),0),2))</f>
        <v/>
      </c>
      <c r="N1943" s="19" t="str">
        <f t="shared" si="155"/>
        <v/>
      </c>
    </row>
    <row r="1944" spans="2:14" x14ac:dyDescent="0.2">
      <c r="B1944" s="15"/>
      <c r="C1944" s="6"/>
      <c r="D1944" s="12"/>
      <c r="E1944" s="10" t="str">
        <f t="shared" si="151"/>
        <v/>
      </c>
      <c r="F1944" s="16"/>
      <c r="G1944" s="13"/>
      <c r="H1944" s="6"/>
      <c r="I1944" s="6"/>
      <c r="J1944" s="11" t="str">
        <f t="shared" si="152"/>
        <v/>
      </c>
      <c r="K1944" s="17" t="str">
        <f t="shared" si="153"/>
        <v/>
      </c>
      <c r="L1944" s="18" t="str">
        <f t="shared" si="154"/>
        <v/>
      </c>
      <c r="M1944" s="18" t="str">
        <f>IF(J1944&lt;&gt;-1,"",ROUND(F1944*IFERROR(INDEX(Stocuri!$G$5:$G$204,MATCH(D1944,Coduri,0)),0),2))</f>
        <v/>
      </c>
      <c r="N1944" s="19" t="str">
        <f t="shared" si="155"/>
        <v/>
      </c>
    </row>
    <row r="1945" spans="2:14" x14ac:dyDescent="0.2">
      <c r="B1945" s="15"/>
      <c r="C1945" s="6"/>
      <c r="D1945" s="12"/>
      <c r="E1945" s="10" t="str">
        <f t="shared" si="151"/>
        <v/>
      </c>
      <c r="F1945" s="16"/>
      <c r="G1945" s="13"/>
      <c r="H1945" s="6"/>
      <c r="I1945" s="6"/>
      <c r="J1945" s="11" t="str">
        <f t="shared" si="152"/>
        <v/>
      </c>
      <c r="K1945" s="17" t="str">
        <f t="shared" si="153"/>
        <v/>
      </c>
      <c r="L1945" s="18" t="str">
        <f t="shared" si="154"/>
        <v/>
      </c>
      <c r="M1945" s="18" t="str">
        <f>IF(J1945&lt;&gt;-1,"",ROUND(F1945*IFERROR(INDEX(Stocuri!$G$5:$G$204,MATCH(D1945,Coduri,0)),0),2))</f>
        <v/>
      </c>
      <c r="N1945" s="19" t="str">
        <f t="shared" si="155"/>
        <v/>
      </c>
    </row>
    <row r="1946" spans="2:14" x14ac:dyDescent="0.2">
      <c r="B1946" s="15"/>
      <c r="C1946" s="6"/>
      <c r="D1946" s="12"/>
      <c r="E1946" s="10" t="str">
        <f t="shared" si="151"/>
        <v/>
      </c>
      <c r="F1946" s="16"/>
      <c r="G1946" s="13"/>
      <c r="H1946" s="6"/>
      <c r="I1946" s="6"/>
      <c r="J1946" s="11" t="str">
        <f t="shared" si="152"/>
        <v/>
      </c>
      <c r="K1946" s="17" t="str">
        <f t="shared" si="153"/>
        <v/>
      </c>
      <c r="L1946" s="18" t="str">
        <f t="shared" si="154"/>
        <v/>
      </c>
      <c r="M1946" s="18" t="str">
        <f>IF(J1946&lt;&gt;-1,"",ROUND(F1946*IFERROR(INDEX(Stocuri!$G$5:$G$204,MATCH(D1946,Coduri,0)),0),2))</f>
        <v/>
      </c>
      <c r="N1946" s="19" t="str">
        <f t="shared" si="155"/>
        <v/>
      </c>
    </row>
    <row r="1947" spans="2:14" x14ac:dyDescent="0.2">
      <c r="B1947" s="15"/>
      <c r="C1947" s="6"/>
      <c r="D1947" s="12"/>
      <c r="E1947" s="10" t="str">
        <f t="shared" si="151"/>
        <v/>
      </c>
      <c r="F1947" s="16"/>
      <c r="G1947" s="13"/>
      <c r="H1947" s="6"/>
      <c r="I1947" s="6"/>
      <c r="J1947" s="11" t="str">
        <f t="shared" si="152"/>
        <v/>
      </c>
      <c r="K1947" s="17" t="str">
        <f t="shared" si="153"/>
        <v/>
      </c>
      <c r="L1947" s="18" t="str">
        <f t="shared" si="154"/>
        <v/>
      </c>
      <c r="M1947" s="18" t="str">
        <f>IF(J1947&lt;&gt;-1,"",ROUND(F1947*IFERROR(INDEX(Stocuri!$G$5:$G$204,MATCH(D1947,Coduri,0)),0),2))</f>
        <v/>
      </c>
      <c r="N1947" s="19" t="str">
        <f t="shared" si="155"/>
        <v/>
      </c>
    </row>
    <row r="1948" spans="2:14" x14ac:dyDescent="0.2">
      <c r="B1948" s="15"/>
      <c r="C1948" s="6"/>
      <c r="D1948" s="12"/>
      <c r="E1948" s="10" t="str">
        <f t="shared" si="151"/>
        <v/>
      </c>
      <c r="F1948" s="16"/>
      <c r="G1948" s="13"/>
      <c r="H1948" s="6"/>
      <c r="I1948" s="6"/>
      <c r="J1948" s="11" t="str">
        <f t="shared" si="152"/>
        <v/>
      </c>
      <c r="K1948" s="17" t="str">
        <f t="shared" si="153"/>
        <v/>
      </c>
      <c r="L1948" s="18" t="str">
        <f t="shared" si="154"/>
        <v/>
      </c>
      <c r="M1948" s="18" t="str">
        <f>IF(J1948&lt;&gt;-1,"",ROUND(F1948*IFERROR(INDEX(Stocuri!$G$5:$G$204,MATCH(D1948,Coduri,0)),0),2))</f>
        <v/>
      </c>
      <c r="N1948" s="19" t="str">
        <f t="shared" si="155"/>
        <v/>
      </c>
    </row>
    <row r="1949" spans="2:14" x14ac:dyDescent="0.2">
      <c r="B1949" s="15"/>
      <c r="C1949" s="6"/>
      <c r="D1949" s="12"/>
      <c r="E1949" s="10" t="str">
        <f t="shared" si="151"/>
        <v/>
      </c>
      <c r="F1949" s="16"/>
      <c r="G1949" s="13"/>
      <c r="H1949" s="6"/>
      <c r="I1949" s="6"/>
      <c r="J1949" s="11" t="str">
        <f t="shared" si="152"/>
        <v/>
      </c>
      <c r="K1949" s="17" t="str">
        <f t="shared" si="153"/>
        <v/>
      </c>
      <c r="L1949" s="18" t="str">
        <f t="shared" si="154"/>
        <v/>
      </c>
      <c r="M1949" s="18" t="str">
        <f>IF(J1949&lt;&gt;-1,"",ROUND(F1949*IFERROR(INDEX(Stocuri!$G$5:$G$204,MATCH(D1949,Coduri,0)),0),2))</f>
        <v/>
      </c>
      <c r="N1949" s="19" t="str">
        <f t="shared" si="155"/>
        <v/>
      </c>
    </row>
    <row r="1950" spans="2:14" x14ac:dyDescent="0.2">
      <c r="B1950" s="15"/>
      <c r="C1950" s="6"/>
      <c r="D1950" s="12"/>
      <c r="E1950" s="10" t="str">
        <f t="shared" si="151"/>
        <v/>
      </c>
      <c r="F1950" s="16"/>
      <c r="G1950" s="13"/>
      <c r="H1950" s="6"/>
      <c r="I1950" s="6"/>
      <c r="J1950" s="11" t="str">
        <f t="shared" si="152"/>
        <v/>
      </c>
      <c r="K1950" s="17" t="str">
        <f t="shared" si="153"/>
        <v/>
      </c>
      <c r="L1950" s="18" t="str">
        <f t="shared" si="154"/>
        <v/>
      </c>
      <c r="M1950" s="18" t="str">
        <f>IF(J1950&lt;&gt;-1,"",ROUND(F1950*IFERROR(INDEX(Stocuri!$G$5:$G$204,MATCH(D1950,Coduri,0)),0),2))</f>
        <v/>
      </c>
      <c r="N1950" s="19" t="str">
        <f t="shared" si="155"/>
        <v/>
      </c>
    </row>
    <row r="1951" spans="2:14" x14ac:dyDescent="0.2">
      <c r="B1951" s="15"/>
      <c r="C1951" s="6"/>
      <c r="D1951" s="12"/>
      <c r="E1951" s="10" t="str">
        <f t="shared" si="151"/>
        <v/>
      </c>
      <c r="F1951" s="16"/>
      <c r="G1951" s="13"/>
      <c r="H1951" s="6"/>
      <c r="I1951" s="6"/>
      <c r="J1951" s="11" t="str">
        <f t="shared" si="152"/>
        <v/>
      </c>
      <c r="K1951" s="17" t="str">
        <f t="shared" si="153"/>
        <v/>
      </c>
      <c r="L1951" s="18" t="str">
        <f t="shared" si="154"/>
        <v/>
      </c>
      <c r="M1951" s="18" t="str">
        <f>IF(J1951&lt;&gt;-1,"",ROUND(F1951*IFERROR(INDEX(Stocuri!$G$5:$G$204,MATCH(D1951,Coduri,0)),0),2))</f>
        <v/>
      </c>
      <c r="N1951" s="19" t="str">
        <f t="shared" si="155"/>
        <v/>
      </c>
    </row>
    <row r="1952" spans="2:14" x14ac:dyDescent="0.2">
      <c r="B1952" s="15"/>
      <c r="C1952" s="6"/>
      <c r="D1952" s="12"/>
      <c r="E1952" s="10" t="str">
        <f t="shared" si="151"/>
        <v/>
      </c>
      <c r="F1952" s="16"/>
      <c r="G1952" s="13"/>
      <c r="H1952" s="6"/>
      <c r="I1952" s="6"/>
      <c r="J1952" s="11" t="str">
        <f t="shared" si="152"/>
        <v/>
      </c>
      <c r="K1952" s="17" t="str">
        <f t="shared" si="153"/>
        <v/>
      </c>
      <c r="L1952" s="18" t="str">
        <f t="shared" si="154"/>
        <v/>
      </c>
      <c r="M1952" s="18" t="str">
        <f>IF(J1952&lt;&gt;-1,"",ROUND(F1952*IFERROR(INDEX(Stocuri!$G$5:$G$204,MATCH(D1952,Coduri,0)),0),2))</f>
        <v/>
      </c>
      <c r="N1952" s="19" t="str">
        <f t="shared" si="155"/>
        <v/>
      </c>
    </row>
    <row r="1953" spans="2:14" x14ac:dyDescent="0.2">
      <c r="B1953" s="15"/>
      <c r="C1953" s="6"/>
      <c r="D1953" s="12"/>
      <c r="E1953" s="10" t="str">
        <f t="shared" si="151"/>
        <v/>
      </c>
      <c r="F1953" s="16"/>
      <c r="G1953" s="13"/>
      <c r="H1953" s="6"/>
      <c r="I1953" s="6"/>
      <c r="J1953" s="11" t="str">
        <f t="shared" si="152"/>
        <v/>
      </c>
      <c r="K1953" s="17" t="str">
        <f t="shared" si="153"/>
        <v/>
      </c>
      <c r="L1953" s="18" t="str">
        <f t="shared" si="154"/>
        <v/>
      </c>
      <c r="M1953" s="18" t="str">
        <f>IF(J1953&lt;&gt;-1,"",ROUND(F1953*IFERROR(INDEX(Stocuri!$G$5:$G$204,MATCH(D1953,Coduri,0)),0),2))</f>
        <v/>
      </c>
      <c r="N1953" s="19" t="str">
        <f t="shared" si="155"/>
        <v/>
      </c>
    </row>
    <row r="1954" spans="2:14" x14ac:dyDescent="0.2">
      <c r="B1954" s="15"/>
      <c r="C1954" s="6"/>
      <c r="D1954" s="12"/>
      <c r="E1954" s="10" t="str">
        <f t="shared" si="151"/>
        <v/>
      </c>
      <c r="F1954" s="16"/>
      <c r="G1954" s="13"/>
      <c r="H1954" s="6"/>
      <c r="I1954" s="6"/>
      <c r="J1954" s="11" t="str">
        <f t="shared" si="152"/>
        <v/>
      </c>
      <c r="K1954" s="17" t="str">
        <f t="shared" si="153"/>
        <v/>
      </c>
      <c r="L1954" s="18" t="str">
        <f t="shared" si="154"/>
        <v/>
      </c>
      <c r="M1954" s="18" t="str">
        <f>IF(J1954&lt;&gt;-1,"",ROUND(F1954*IFERROR(INDEX(Stocuri!$G$5:$G$204,MATCH(D1954,Coduri,0)),0),2))</f>
        <v/>
      </c>
      <c r="N1954" s="19" t="str">
        <f t="shared" si="155"/>
        <v/>
      </c>
    </row>
    <row r="1955" spans="2:14" x14ac:dyDescent="0.2">
      <c r="B1955" s="15"/>
      <c r="C1955" s="6"/>
      <c r="D1955" s="12"/>
      <c r="E1955" s="10" t="str">
        <f t="shared" si="151"/>
        <v/>
      </c>
      <c r="F1955" s="16"/>
      <c r="G1955" s="13"/>
      <c r="H1955" s="6"/>
      <c r="I1955" s="6"/>
      <c r="J1955" s="11" t="str">
        <f t="shared" si="152"/>
        <v/>
      </c>
      <c r="K1955" s="17" t="str">
        <f t="shared" si="153"/>
        <v/>
      </c>
      <c r="L1955" s="18" t="str">
        <f t="shared" si="154"/>
        <v/>
      </c>
      <c r="M1955" s="18" t="str">
        <f>IF(J1955&lt;&gt;-1,"",ROUND(F1955*IFERROR(INDEX(Stocuri!$G$5:$G$204,MATCH(D1955,Coduri,0)),0),2))</f>
        <v/>
      </c>
      <c r="N1955" s="19" t="str">
        <f t="shared" si="155"/>
        <v/>
      </c>
    </row>
    <row r="1956" spans="2:14" x14ac:dyDescent="0.2">
      <c r="B1956" s="15"/>
      <c r="C1956" s="6"/>
      <c r="D1956" s="12"/>
      <c r="E1956" s="10" t="str">
        <f t="shared" si="151"/>
        <v/>
      </c>
      <c r="F1956" s="16"/>
      <c r="G1956" s="13"/>
      <c r="H1956" s="6"/>
      <c r="I1956" s="6"/>
      <c r="J1956" s="11" t="str">
        <f t="shared" si="152"/>
        <v/>
      </c>
      <c r="K1956" s="17" t="str">
        <f t="shared" si="153"/>
        <v/>
      </c>
      <c r="L1956" s="18" t="str">
        <f t="shared" si="154"/>
        <v/>
      </c>
      <c r="M1956" s="18" t="str">
        <f>IF(J1956&lt;&gt;-1,"",ROUND(F1956*IFERROR(INDEX(Stocuri!$G$5:$G$204,MATCH(D1956,Coduri,0)),0),2))</f>
        <v/>
      </c>
      <c r="N1956" s="19" t="str">
        <f t="shared" si="155"/>
        <v/>
      </c>
    </row>
    <row r="1957" spans="2:14" x14ac:dyDescent="0.2">
      <c r="B1957" s="15"/>
      <c r="C1957" s="6"/>
      <c r="D1957" s="12"/>
      <c r="E1957" s="10" t="str">
        <f t="shared" si="151"/>
        <v/>
      </c>
      <c r="F1957" s="16"/>
      <c r="G1957" s="13"/>
      <c r="H1957" s="6"/>
      <c r="I1957" s="6"/>
      <c r="J1957" s="11" t="str">
        <f t="shared" si="152"/>
        <v/>
      </c>
      <c r="K1957" s="17" t="str">
        <f t="shared" si="153"/>
        <v/>
      </c>
      <c r="L1957" s="18" t="str">
        <f t="shared" si="154"/>
        <v/>
      </c>
      <c r="M1957" s="18" t="str">
        <f>IF(J1957&lt;&gt;-1,"",ROUND(F1957*IFERROR(INDEX(Stocuri!$G$5:$G$204,MATCH(D1957,Coduri,0)),0),2))</f>
        <v/>
      </c>
      <c r="N1957" s="19" t="str">
        <f t="shared" si="155"/>
        <v/>
      </c>
    </row>
    <row r="1958" spans="2:14" x14ac:dyDescent="0.2">
      <c r="B1958" s="15"/>
      <c r="C1958" s="6"/>
      <c r="D1958" s="12"/>
      <c r="E1958" s="10" t="str">
        <f t="shared" si="151"/>
        <v/>
      </c>
      <c r="F1958" s="16"/>
      <c r="G1958" s="13"/>
      <c r="H1958" s="6"/>
      <c r="I1958" s="6"/>
      <c r="J1958" s="11" t="str">
        <f t="shared" si="152"/>
        <v/>
      </c>
      <c r="K1958" s="17" t="str">
        <f t="shared" si="153"/>
        <v/>
      </c>
      <c r="L1958" s="18" t="str">
        <f t="shared" si="154"/>
        <v/>
      </c>
      <c r="M1958" s="18" t="str">
        <f>IF(J1958&lt;&gt;-1,"",ROUND(F1958*IFERROR(INDEX(Stocuri!$G$5:$G$204,MATCH(D1958,Coduri,0)),0),2))</f>
        <v/>
      </c>
      <c r="N1958" s="19" t="str">
        <f t="shared" si="155"/>
        <v/>
      </c>
    </row>
    <row r="1959" spans="2:14" x14ac:dyDescent="0.2">
      <c r="B1959" s="15"/>
      <c r="C1959" s="6"/>
      <c r="D1959" s="12"/>
      <c r="E1959" s="10" t="str">
        <f t="shared" si="151"/>
        <v/>
      </c>
      <c r="F1959" s="16"/>
      <c r="G1959" s="13"/>
      <c r="H1959" s="6"/>
      <c r="I1959" s="6"/>
      <c r="J1959" s="11" t="str">
        <f t="shared" si="152"/>
        <v/>
      </c>
      <c r="K1959" s="17" t="str">
        <f t="shared" si="153"/>
        <v/>
      </c>
      <c r="L1959" s="18" t="str">
        <f t="shared" si="154"/>
        <v/>
      </c>
      <c r="M1959" s="18" t="str">
        <f>IF(J1959&lt;&gt;-1,"",ROUND(F1959*IFERROR(INDEX(Stocuri!$G$5:$G$204,MATCH(D1959,Coduri,0)),0),2))</f>
        <v/>
      </c>
      <c r="N1959" s="19" t="str">
        <f t="shared" si="155"/>
        <v/>
      </c>
    </row>
    <row r="1960" spans="2:14" x14ac:dyDescent="0.2">
      <c r="B1960" s="15"/>
      <c r="C1960" s="6"/>
      <c r="D1960" s="12"/>
      <c r="E1960" s="10" t="str">
        <f t="shared" si="151"/>
        <v/>
      </c>
      <c r="F1960" s="16"/>
      <c r="G1960" s="13"/>
      <c r="H1960" s="6"/>
      <c r="I1960" s="6"/>
      <c r="J1960" s="11" t="str">
        <f t="shared" si="152"/>
        <v/>
      </c>
      <c r="K1960" s="17" t="str">
        <f t="shared" si="153"/>
        <v/>
      </c>
      <c r="L1960" s="18" t="str">
        <f t="shared" si="154"/>
        <v/>
      </c>
      <c r="M1960" s="18" t="str">
        <f>IF(J1960&lt;&gt;-1,"",ROUND(F1960*IFERROR(INDEX(Stocuri!$G$5:$G$204,MATCH(D1960,Coduri,0)),0),2))</f>
        <v/>
      </c>
      <c r="N1960" s="19" t="str">
        <f t="shared" si="155"/>
        <v/>
      </c>
    </row>
    <row r="1961" spans="2:14" x14ac:dyDescent="0.2">
      <c r="B1961" s="15"/>
      <c r="C1961" s="6"/>
      <c r="D1961" s="12"/>
      <c r="E1961" s="10" t="str">
        <f t="shared" si="151"/>
        <v/>
      </c>
      <c r="F1961" s="16"/>
      <c r="G1961" s="13"/>
      <c r="H1961" s="6"/>
      <c r="I1961" s="6"/>
      <c r="J1961" s="11" t="str">
        <f t="shared" si="152"/>
        <v/>
      </c>
      <c r="K1961" s="17" t="str">
        <f t="shared" si="153"/>
        <v/>
      </c>
      <c r="L1961" s="18" t="str">
        <f t="shared" si="154"/>
        <v/>
      </c>
      <c r="M1961" s="18" t="str">
        <f>IF(J1961&lt;&gt;-1,"",ROUND(F1961*IFERROR(INDEX(Stocuri!$G$5:$G$204,MATCH(D1961,Coduri,0)),0),2))</f>
        <v/>
      </c>
      <c r="N1961" s="19" t="str">
        <f t="shared" si="155"/>
        <v/>
      </c>
    </row>
    <row r="1962" spans="2:14" x14ac:dyDescent="0.2">
      <c r="B1962" s="15"/>
      <c r="C1962" s="6"/>
      <c r="D1962" s="12"/>
      <c r="E1962" s="10" t="str">
        <f t="shared" si="151"/>
        <v/>
      </c>
      <c r="F1962" s="16"/>
      <c r="G1962" s="13"/>
      <c r="H1962" s="6"/>
      <c r="I1962" s="6"/>
      <c r="J1962" s="11" t="str">
        <f t="shared" si="152"/>
        <v/>
      </c>
      <c r="K1962" s="17" t="str">
        <f t="shared" si="153"/>
        <v/>
      </c>
      <c r="L1962" s="18" t="str">
        <f t="shared" si="154"/>
        <v/>
      </c>
      <c r="M1962" s="18" t="str">
        <f>IF(J1962&lt;&gt;-1,"",ROUND(F1962*IFERROR(INDEX(Stocuri!$G$5:$G$204,MATCH(D1962,Coduri,0)),0),2))</f>
        <v/>
      </c>
      <c r="N1962" s="19" t="str">
        <f t="shared" si="155"/>
        <v/>
      </c>
    </row>
    <row r="1963" spans="2:14" x14ac:dyDescent="0.2">
      <c r="B1963" s="15"/>
      <c r="C1963" s="6"/>
      <c r="D1963" s="12"/>
      <c r="E1963" s="10" t="str">
        <f t="shared" si="151"/>
        <v/>
      </c>
      <c r="F1963" s="16"/>
      <c r="G1963" s="13"/>
      <c r="H1963" s="6"/>
      <c r="I1963" s="6"/>
      <c r="J1963" s="11" t="str">
        <f t="shared" si="152"/>
        <v/>
      </c>
      <c r="K1963" s="17" t="str">
        <f t="shared" si="153"/>
        <v/>
      </c>
      <c r="L1963" s="18" t="str">
        <f t="shared" si="154"/>
        <v/>
      </c>
      <c r="M1963" s="18" t="str">
        <f>IF(J1963&lt;&gt;-1,"",ROUND(F1963*IFERROR(INDEX(Stocuri!$G$5:$G$204,MATCH(D1963,Coduri,0)),0),2))</f>
        <v/>
      </c>
      <c r="N1963" s="19" t="str">
        <f t="shared" si="155"/>
        <v/>
      </c>
    </row>
    <row r="1964" spans="2:14" x14ac:dyDescent="0.2">
      <c r="B1964" s="15"/>
      <c r="C1964" s="6"/>
      <c r="D1964" s="12"/>
      <c r="E1964" s="10" t="str">
        <f t="shared" si="151"/>
        <v/>
      </c>
      <c r="F1964" s="16"/>
      <c r="G1964" s="13"/>
      <c r="H1964" s="6"/>
      <c r="I1964" s="6"/>
      <c r="J1964" s="11" t="str">
        <f t="shared" si="152"/>
        <v/>
      </c>
      <c r="K1964" s="17" t="str">
        <f t="shared" si="153"/>
        <v/>
      </c>
      <c r="L1964" s="18" t="str">
        <f t="shared" si="154"/>
        <v/>
      </c>
      <c r="M1964" s="18" t="str">
        <f>IF(J1964&lt;&gt;-1,"",ROUND(F1964*IFERROR(INDEX(Stocuri!$G$5:$G$204,MATCH(D1964,Coduri,0)),0),2))</f>
        <v/>
      </c>
      <c r="N1964" s="19" t="str">
        <f t="shared" si="155"/>
        <v/>
      </c>
    </row>
    <row r="1965" spans="2:14" x14ac:dyDescent="0.2">
      <c r="B1965" s="15"/>
      <c r="C1965" s="6"/>
      <c r="D1965" s="12"/>
      <c r="E1965" s="10" t="str">
        <f t="shared" si="151"/>
        <v/>
      </c>
      <c r="F1965" s="16"/>
      <c r="G1965" s="13"/>
      <c r="H1965" s="6"/>
      <c r="I1965" s="6"/>
      <c r="J1965" s="11" t="str">
        <f t="shared" si="152"/>
        <v/>
      </c>
      <c r="K1965" s="17" t="str">
        <f t="shared" si="153"/>
        <v/>
      </c>
      <c r="L1965" s="18" t="str">
        <f t="shared" si="154"/>
        <v/>
      </c>
      <c r="M1965" s="18" t="str">
        <f>IF(J1965&lt;&gt;-1,"",ROUND(F1965*IFERROR(INDEX(Stocuri!$G$5:$G$204,MATCH(D1965,Coduri,0)),0),2))</f>
        <v/>
      </c>
      <c r="N1965" s="19" t="str">
        <f t="shared" si="155"/>
        <v/>
      </c>
    </row>
    <row r="1966" spans="2:14" x14ac:dyDescent="0.2">
      <c r="B1966" s="15"/>
      <c r="C1966" s="6"/>
      <c r="D1966" s="12"/>
      <c r="E1966" s="10" t="str">
        <f t="shared" si="151"/>
        <v/>
      </c>
      <c r="F1966" s="16"/>
      <c r="G1966" s="13"/>
      <c r="H1966" s="6"/>
      <c r="I1966" s="6"/>
      <c r="J1966" s="11" t="str">
        <f t="shared" si="152"/>
        <v/>
      </c>
      <c r="K1966" s="17" t="str">
        <f t="shared" si="153"/>
        <v/>
      </c>
      <c r="L1966" s="18" t="str">
        <f t="shared" si="154"/>
        <v/>
      </c>
      <c r="M1966" s="18" t="str">
        <f>IF(J1966&lt;&gt;-1,"",ROUND(F1966*IFERROR(INDEX(Stocuri!$G$5:$G$204,MATCH(D1966,Coduri,0)),0),2))</f>
        <v/>
      </c>
      <c r="N1966" s="19" t="str">
        <f t="shared" si="155"/>
        <v/>
      </c>
    </row>
    <row r="1967" spans="2:14" x14ac:dyDescent="0.2">
      <c r="B1967" s="15"/>
      <c r="C1967" s="6"/>
      <c r="D1967" s="12"/>
      <c r="E1967" s="10" t="str">
        <f t="shared" si="151"/>
        <v/>
      </c>
      <c r="F1967" s="16"/>
      <c r="G1967" s="13"/>
      <c r="H1967" s="6"/>
      <c r="I1967" s="6"/>
      <c r="J1967" s="11" t="str">
        <f t="shared" si="152"/>
        <v/>
      </c>
      <c r="K1967" s="17" t="str">
        <f t="shared" si="153"/>
        <v/>
      </c>
      <c r="L1967" s="18" t="str">
        <f t="shared" si="154"/>
        <v/>
      </c>
      <c r="M1967" s="18" t="str">
        <f>IF(J1967&lt;&gt;-1,"",ROUND(F1967*IFERROR(INDEX(Stocuri!$G$5:$G$204,MATCH(D1967,Coduri,0)),0),2))</f>
        <v/>
      </c>
      <c r="N1967" s="19" t="str">
        <f t="shared" si="155"/>
        <v/>
      </c>
    </row>
    <row r="1968" spans="2:14" x14ac:dyDescent="0.2">
      <c r="B1968" s="15"/>
      <c r="C1968" s="6"/>
      <c r="D1968" s="12"/>
      <c r="E1968" s="10" t="str">
        <f t="shared" si="151"/>
        <v/>
      </c>
      <c r="F1968" s="16"/>
      <c r="G1968" s="13"/>
      <c r="H1968" s="6"/>
      <c r="I1968" s="6"/>
      <c r="J1968" s="11" t="str">
        <f t="shared" si="152"/>
        <v/>
      </c>
      <c r="K1968" s="17" t="str">
        <f t="shared" si="153"/>
        <v/>
      </c>
      <c r="L1968" s="18" t="str">
        <f t="shared" si="154"/>
        <v/>
      </c>
      <c r="M1968" s="18" t="str">
        <f>IF(J1968&lt;&gt;-1,"",ROUND(F1968*IFERROR(INDEX(Stocuri!$G$5:$G$204,MATCH(D1968,Coduri,0)),0),2))</f>
        <v/>
      </c>
      <c r="N1968" s="19" t="str">
        <f t="shared" si="155"/>
        <v/>
      </c>
    </row>
    <row r="1969" spans="2:14" x14ac:dyDescent="0.2">
      <c r="B1969" s="15"/>
      <c r="C1969" s="6"/>
      <c r="D1969" s="12"/>
      <c r="E1969" s="10" t="str">
        <f t="shared" si="151"/>
        <v/>
      </c>
      <c r="F1969" s="16"/>
      <c r="G1969" s="13"/>
      <c r="H1969" s="6"/>
      <c r="I1969" s="6"/>
      <c r="J1969" s="11" t="str">
        <f t="shared" si="152"/>
        <v/>
      </c>
      <c r="K1969" s="17" t="str">
        <f t="shared" si="153"/>
        <v/>
      </c>
      <c r="L1969" s="18" t="str">
        <f t="shared" si="154"/>
        <v/>
      </c>
      <c r="M1969" s="18" t="str">
        <f>IF(J1969&lt;&gt;-1,"",ROUND(F1969*IFERROR(INDEX(Stocuri!$G$5:$G$204,MATCH(D1969,Coduri,0)),0),2))</f>
        <v/>
      </c>
      <c r="N1969" s="19" t="str">
        <f t="shared" si="155"/>
        <v/>
      </c>
    </row>
    <row r="1970" spans="2:14" x14ac:dyDescent="0.2">
      <c r="B1970" s="15"/>
      <c r="C1970" s="6"/>
      <c r="D1970" s="12"/>
      <c r="E1970" s="10" t="str">
        <f t="shared" si="151"/>
        <v/>
      </c>
      <c r="F1970" s="16"/>
      <c r="G1970" s="13"/>
      <c r="H1970" s="6"/>
      <c r="I1970" s="6"/>
      <c r="J1970" s="11" t="str">
        <f t="shared" si="152"/>
        <v/>
      </c>
      <c r="K1970" s="17" t="str">
        <f t="shared" si="153"/>
        <v/>
      </c>
      <c r="L1970" s="18" t="str">
        <f t="shared" si="154"/>
        <v/>
      </c>
      <c r="M1970" s="18" t="str">
        <f>IF(J1970&lt;&gt;-1,"",ROUND(F1970*IFERROR(INDEX(Stocuri!$G$5:$G$204,MATCH(D1970,Coduri,0)),0),2))</f>
        <v/>
      </c>
      <c r="N1970" s="19" t="str">
        <f t="shared" si="155"/>
        <v/>
      </c>
    </row>
    <row r="1971" spans="2:14" x14ac:dyDescent="0.2">
      <c r="B1971" s="15"/>
      <c r="C1971" s="6"/>
      <c r="D1971" s="12"/>
      <c r="E1971" s="10" t="str">
        <f t="shared" si="151"/>
        <v/>
      </c>
      <c r="F1971" s="16"/>
      <c r="G1971" s="13"/>
      <c r="H1971" s="6"/>
      <c r="I1971" s="6"/>
      <c r="J1971" s="11" t="str">
        <f t="shared" si="152"/>
        <v/>
      </c>
      <c r="K1971" s="17" t="str">
        <f t="shared" si="153"/>
        <v/>
      </c>
      <c r="L1971" s="18" t="str">
        <f t="shared" si="154"/>
        <v/>
      </c>
      <c r="M1971" s="18" t="str">
        <f>IF(J1971&lt;&gt;-1,"",ROUND(F1971*IFERROR(INDEX(Stocuri!$G$5:$G$204,MATCH(D1971,Coduri,0)),0),2))</f>
        <v/>
      </c>
      <c r="N1971" s="19" t="str">
        <f t="shared" si="155"/>
        <v/>
      </c>
    </row>
    <row r="1972" spans="2:14" x14ac:dyDescent="0.2">
      <c r="B1972" s="15"/>
      <c r="C1972" s="6"/>
      <c r="D1972" s="12"/>
      <c r="E1972" s="10" t="str">
        <f t="shared" si="151"/>
        <v/>
      </c>
      <c r="F1972" s="16"/>
      <c r="G1972" s="13"/>
      <c r="H1972" s="6"/>
      <c r="I1972" s="6"/>
      <c r="J1972" s="11" t="str">
        <f t="shared" si="152"/>
        <v/>
      </c>
      <c r="K1972" s="17" t="str">
        <f t="shared" si="153"/>
        <v/>
      </c>
      <c r="L1972" s="18" t="str">
        <f t="shared" si="154"/>
        <v/>
      </c>
      <c r="M1972" s="18" t="str">
        <f>IF(J1972&lt;&gt;-1,"",ROUND(F1972*IFERROR(INDEX(Stocuri!$G$5:$G$204,MATCH(D1972,Coduri,0)),0),2))</f>
        <v/>
      </c>
      <c r="N1972" s="19" t="str">
        <f t="shared" si="155"/>
        <v/>
      </c>
    </row>
    <row r="1973" spans="2:14" x14ac:dyDescent="0.2">
      <c r="B1973" s="15"/>
      <c r="C1973" s="6"/>
      <c r="D1973" s="12"/>
      <c r="E1973" s="10" t="str">
        <f t="shared" si="151"/>
        <v/>
      </c>
      <c r="F1973" s="16"/>
      <c r="G1973" s="13"/>
      <c r="H1973" s="6"/>
      <c r="I1973" s="6"/>
      <c r="J1973" s="11" t="str">
        <f t="shared" si="152"/>
        <v/>
      </c>
      <c r="K1973" s="17" t="str">
        <f t="shared" si="153"/>
        <v/>
      </c>
      <c r="L1973" s="18" t="str">
        <f t="shared" si="154"/>
        <v/>
      </c>
      <c r="M1973" s="18" t="str">
        <f>IF(J1973&lt;&gt;-1,"",ROUND(F1973*IFERROR(INDEX(Stocuri!$G$5:$G$204,MATCH(D1973,Coduri,0)),0),2))</f>
        <v/>
      </c>
      <c r="N1973" s="19" t="str">
        <f t="shared" si="155"/>
        <v/>
      </c>
    </row>
    <row r="1974" spans="2:14" x14ac:dyDescent="0.2">
      <c r="B1974" s="15"/>
      <c r="C1974" s="6"/>
      <c r="D1974" s="12"/>
      <c r="E1974" s="10" t="str">
        <f t="shared" si="151"/>
        <v/>
      </c>
      <c r="F1974" s="16"/>
      <c r="G1974" s="13"/>
      <c r="H1974" s="6"/>
      <c r="I1974" s="6"/>
      <c r="J1974" s="11" t="str">
        <f t="shared" si="152"/>
        <v/>
      </c>
      <c r="K1974" s="17" t="str">
        <f t="shared" si="153"/>
        <v/>
      </c>
      <c r="L1974" s="18" t="str">
        <f t="shared" si="154"/>
        <v/>
      </c>
      <c r="M1974" s="18" t="str">
        <f>IF(J1974&lt;&gt;-1,"",ROUND(F1974*IFERROR(INDEX(Stocuri!$G$5:$G$204,MATCH(D1974,Coduri,0)),0),2))</f>
        <v/>
      </c>
      <c r="N1974" s="19" t="str">
        <f t="shared" si="155"/>
        <v/>
      </c>
    </row>
    <row r="1975" spans="2:14" x14ac:dyDescent="0.2">
      <c r="B1975" s="15"/>
      <c r="C1975" s="6"/>
      <c r="D1975" s="12"/>
      <c r="E1975" s="10" t="str">
        <f t="shared" si="151"/>
        <v/>
      </c>
      <c r="F1975" s="16"/>
      <c r="G1975" s="13"/>
      <c r="H1975" s="6"/>
      <c r="I1975" s="6"/>
      <c r="J1975" s="11" t="str">
        <f t="shared" si="152"/>
        <v/>
      </c>
      <c r="K1975" s="17" t="str">
        <f t="shared" si="153"/>
        <v/>
      </c>
      <c r="L1975" s="18" t="str">
        <f t="shared" si="154"/>
        <v/>
      </c>
      <c r="M1975" s="18" t="str">
        <f>IF(J1975&lt;&gt;-1,"",ROUND(F1975*IFERROR(INDEX(Stocuri!$G$5:$G$204,MATCH(D1975,Coduri,0)),0),2))</f>
        <v/>
      </c>
      <c r="N1975" s="19" t="str">
        <f t="shared" si="155"/>
        <v/>
      </c>
    </row>
    <row r="1976" spans="2:14" x14ac:dyDescent="0.2">
      <c r="B1976" s="15"/>
      <c r="C1976" s="6"/>
      <c r="D1976" s="12"/>
      <c r="E1976" s="10" t="str">
        <f t="shared" si="151"/>
        <v/>
      </c>
      <c r="F1976" s="16"/>
      <c r="G1976" s="13"/>
      <c r="H1976" s="6"/>
      <c r="I1976" s="6"/>
      <c r="J1976" s="11" t="str">
        <f t="shared" si="152"/>
        <v/>
      </c>
      <c r="K1976" s="17" t="str">
        <f t="shared" si="153"/>
        <v/>
      </c>
      <c r="L1976" s="18" t="str">
        <f t="shared" si="154"/>
        <v/>
      </c>
      <c r="M1976" s="18" t="str">
        <f>IF(J1976&lt;&gt;-1,"",ROUND(F1976*IFERROR(INDEX(Stocuri!$G$5:$G$204,MATCH(D1976,Coduri,0)),0),2))</f>
        <v/>
      </c>
      <c r="N1976" s="19" t="str">
        <f t="shared" si="155"/>
        <v/>
      </c>
    </row>
    <row r="1977" spans="2:14" x14ac:dyDescent="0.2">
      <c r="B1977" s="15"/>
      <c r="C1977" s="6"/>
      <c r="D1977" s="12"/>
      <c r="E1977" s="10" t="str">
        <f t="shared" si="151"/>
        <v/>
      </c>
      <c r="F1977" s="16"/>
      <c r="G1977" s="13"/>
      <c r="H1977" s="6"/>
      <c r="I1977" s="6"/>
      <c r="J1977" s="11" t="str">
        <f t="shared" si="152"/>
        <v/>
      </c>
      <c r="K1977" s="17" t="str">
        <f t="shared" si="153"/>
        <v/>
      </c>
      <c r="L1977" s="18" t="str">
        <f t="shared" si="154"/>
        <v/>
      </c>
      <c r="M1977" s="18" t="str">
        <f>IF(J1977&lt;&gt;-1,"",ROUND(F1977*IFERROR(INDEX(Stocuri!$G$5:$G$204,MATCH(D1977,Coduri,0)),0),2))</f>
        <v/>
      </c>
      <c r="N1977" s="19" t="str">
        <f t="shared" si="155"/>
        <v/>
      </c>
    </row>
    <row r="1978" spans="2:14" x14ac:dyDescent="0.2">
      <c r="B1978" s="15"/>
      <c r="C1978" s="6"/>
      <c r="D1978" s="12"/>
      <c r="E1978" s="10" t="str">
        <f t="shared" si="151"/>
        <v/>
      </c>
      <c r="F1978" s="16"/>
      <c r="G1978" s="13"/>
      <c r="H1978" s="6"/>
      <c r="I1978" s="6"/>
      <c r="J1978" s="11" t="str">
        <f t="shared" si="152"/>
        <v/>
      </c>
      <c r="K1978" s="17" t="str">
        <f t="shared" si="153"/>
        <v/>
      </c>
      <c r="L1978" s="18" t="str">
        <f t="shared" si="154"/>
        <v/>
      </c>
      <c r="M1978" s="18" t="str">
        <f>IF(J1978&lt;&gt;-1,"",ROUND(F1978*IFERROR(INDEX(Stocuri!$G$5:$G$204,MATCH(D1978,Coduri,0)),0),2))</f>
        <v/>
      </c>
      <c r="N1978" s="19" t="str">
        <f t="shared" si="155"/>
        <v/>
      </c>
    </row>
    <row r="1979" spans="2:14" x14ac:dyDescent="0.2">
      <c r="B1979" s="15"/>
      <c r="C1979" s="6"/>
      <c r="D1979" s="12"/>
      <c r="E1979" s="10" t="str">
        <f t="shared" si="151"/>
        <v/>
      </c>
      <c r="F1979" s="16"/>
      <c r="G1979" s="13"/>
      <c r="H1979" s="6"/>
      <c r="I1979" s="6"/>
      <c r="J1979" s="11" t="str">
        <f t="shared" si="152"/>
        <v/>
      </c>
      <c r="K1979" s="17" t="str">
        <f t="shared" si="153"/>
        <v/>
      </c>
      <c r="L1979" s="18" t="str">
        <f t="shared" si="154"/>
        <v/>
      </c>
      <c r="M1979" s="18" t="str">
        <f>IF(J1979&lt;&gt;-1,"",ROUND(F1979*IFERROR(INDEX(Stocuri!$G$5:$G$204,MATCH(D1979,Coduri,0)),0),2))</f>
        <v/>
      </c>
      <c r="N1979" s="19" t="str">
        <f t="shared" si="155"/>
        <v/>
      </c>
    </row>
    <row r="1980" spans="2:14" x14ac:dyDescent="0.2">
      <c r="B1980" s="15"/>
      <c r="C1980" s="6"/>
      <c r="D1980" s="12"/>
      <c r="E1980" s="10" t="str">
        <f t="shared" si="151"/>
        <v/>
      </c>
      <c r="F1980" s="16"/>
      <c r="G1980" s="13"/>
      <c r="H1980" s="6"/>
      <c r="I1980" s="6"/>
      <c r="J1980" s="11" t="str">
        <f t="shared" si="152"/>
        <v/>
      </c>
      <c r="K1980" s="17" t="str">
        <f t="shared" si="153"/>
        <v/>
      </c>
      <c r="L1980" s="18" t="str">
        <f t="shared" si="154"/>
        <v/>
      </c>
      <c r="M1980" s="18" t="str">
        <f>IF(J1980&lt;&gt;-1,"",ROUND(F1980*IFERROR(INDEX(Stocuri!$G$5:$G$204,MATCH(D1980,Coduri,0)),0),2))</f>
        <v/>
      </c>
      <c r="N1980" s="19" t="str">
        <f t="shared" si="155"/>
        <v/>
      </c>
    </row>
    <row r="1981" spans="2:14" x14ac:dyDescent="0.2">
      <c r="B1981" s="15"/>
      <c r="C1981" s="6"/>
      <c r="D1981" s="12"/>
      <c r="E1981" s="10" t="str">
        <f t="shared" si="151"/>
        <v/>
      </c>
      <c r="F1981" s="16"/>
      <c r="G1981" s="13"/>
      <c r="H1981" s="6"/>
      <c r="I1981" s="6"/>
      <c r="J1981" s="11" t="str">
        <f t="shared" si="152"/>
        <v/>
      </c>
      <c r="K1981" s="17" t="str">
        <f t="shared" si="153"/>
        <v/>
      </c>
      <c r="L1981" s="18" t="str">
        <f t="shared" si="154"/>
        <v/>
      </c>
      <c r="M1981" s="18" t="str">
        <f>IF(J1981&lt;&gt;-1,"",ROUND(F1981*IFERROR(INDEX(Stocuri!$G$5:$G$204,MATCH(D1981,Coduri,0)),0),2))</f>
        <v/>
      </c>
      <c r="N1981" s="19" t="str">
        <f t="shared" si="155"/>
        <v/>
      </c>
    </row>
    <row r="1982" spans="2:14" x14ac:dyDescent="0.2">
      <c r="B1982" s="15"/>
      <c r="C1982" s="6"/>
      <c r="D1982" s="12"/>
      <c r="E1982" s="10" t="str">
        <f t="shared" si="151"/>
        <v/>
      </c>
      <c r="F1982" s="16"/>
      <c r="G1982" s="13"/>
      <c r="H1982" s="6"/>
      <c r="I1982" s="6"/>
      <c r="J1982" s="11" t="str">
        <f t="shared" si="152"/>
        <v/>
      </c>
      <c r="K1982" s="17" t="str">
        <f t="shared" si="153"/>
        <v/>
      </c>
      <c r="L1982" s="18" t="str">
        <f t="shared" si="154"/>
        <v/>
      </c>
      <c r="M1982" s="18" t="str">
        <f>IF(J1982&lt;&gt;-1,"",ROUND(F1982*IFERROR(INDEX(Stocuri!$G$5:$G$204,MATCH(D1982,Coduri,0)),0),2))</f>
        <v/>
      </c>
      <c r="N1982" s="19" t="str">
        <f t="shared" si="155"/>
        <v/>
      </c>
    </row>
    <row r="1983" spans="2:14" x14ac:dyDescent="0.2">
      <c r="B1983" s="15"/>
      <c r="C1983" s="6"/>
      <c r="D1983" s="12"/>
      <c r="E1983" s="10" t="str">
        <f t="shared" si="151"/>
        <v/>
      </c>
      <c r="F1983" s="16"/>
      <c r="G1983" s="13"/>
      <c r="H1983" s="6"/>
      <c r="I1983" s="6"/>
      <c r="J1983" s="11" t="str">
        <f t="shared" si="152"/>
        <v/>
      </c>
      <c r="K1983" s="17" t="str">
        <f t="shared" si="153"/>
        <v/>
      </c>
      <c r="L1983" s="18" t="str">
        <f t="shared" si="154"/>
        <v/>
      </c>
      <c r="M1983" s="18" t="str">
        <f>IF(J1983&lt;&gt;-1,"",ROUND(F1983*IFERROR(INDEX(Stocuri!$G$5:$G$204,MATCH(D1983,Coduri,0)),0),2))</f>
        <v/>
      </c>
      <c r="N1983" s="19" t="str">
        <f t="shared" si="155"/>
        <v/>
      </c>
    </row>
    <row r="1984" spans="2:14" x14ac:dyDescent="0.2">
      <c r="B1984" s="15"/>
      <c r="C1984" s="6"/>
      <c r="D1984" s="12"/>
      <c r="E1984" s="10" t="str">
        <f t="shared" si="151"/>
        <v/>
      </c>
      <c r="F1984" s="16"/>
      <c r="G1984" s="13"/>
      <c r="H1984" s="6"/>
      <c r="I1984" s="6"/>
      <c r="J1984" s="11" t="str">
        <f t="shared" si="152"/>
        <v/>
      </c>
      <c r="K1984" s="17" t="str">
        <f t="shared" si="153"/>
        <v/>
      </c>
      <c r="L1984" s="18" t="str">
        <f t="shared" si="154"/>
        <v/>
      </c>
      <c r="M1984" s="18" t="str">
        <f>IF(J1984&lt;&gt;-1,"",ROUND(F1984*IFERROR(INDEX(Stocuri!$G$5:$G$204,MATCH(D1984,Coduri,0)),0),2))</f>
        <v/>
      </c>
      <c r="N1984" s="19" t="str">
        <f t="shared" si="155"/>
        <v/>
      </c>
    </row>
    <row r="1985" spans="2:14" x14ac:dyDescent="0.2">
      <c r="B1985" s="15"/>
      <c r="C1985" s="6"/>
      <c r="D1985" s="12"/>
      <c r="E1985" s="10" t="str">
        <f t="shared" si="151"/>
        <v/>
      </c>
      <c r="F1985" s="16"/>
      <c r="G1985" s="13"/>
      <c r="H1985" s="6"/>
      <c r="I1985" s="6"/>
      <c r="J1985" s="11" t="str">
        <f t="shared" si="152"/>
        <v/>
      </c>
      <c r="K1985" s="17" t="str">
        <f t="shared" si="153"/>
        <v/>
      </c>
      <c r="L1985" s="18" t="str">
        <f t="shared" si="154"/>
        <v/>
      </c>
      <c r="M1985" s="18" t="str">
        <f>IF(J1985&lt;&gt;-1,"",ROUND(F1985*IFERROR(INDEX(Stocuri!$G$5:$G$204,MATCH(D1985,Coduri,0)),0),2))</f>
        <v/>
      </c>
      <c r="N1985" s="19" t="str">
        <f t="shared" si="155"/>
        <v/>
      </c>
    </row>
    <row r="1986" spans="2:14" x14ac:dyDescent="0.2">
      <c r="B1986" s="15"/>
      <c r="C1986" s="6"/>
      <c r="D1986" s="12"/>
      <c r="E1986" s="10" t="str">
        <f t="shared" si="151"/>
        <v/>
      </c>
      <c r="F1986" s="16"/>
      <c r="G1986" s="13"/>
      <c r="H1986" s="6"/>
      <c r="I1986" s="6"/>
      <c r="J1986" s="11" t="str">
        <f t="shared" si="152"/>
        <v/>
      </c>
      <c r="K1986" s="17" t="str">
        <f t="shared" si="153"/>
        <v/>
      </c>
      <c r="L1986" s="18" t="str">
        <f t="shared" si="154"/>
        <v/>
      </c>
      <c r="M1986" s="18" t="str">
        <f>IF(J1986&lt;&gt;-1,"",ROUND(F1986*IFERROR(INDEX(Stocuri!$G$5:$G$204,MATCH(D1986,Coduri,0)),0),2))</f>
        <v/>
      </c>
      <c r="N1986" s="19" t="str">
        <f t="shared" si="155"/>
        <v/>
      </c>
    </row>
    <row r="1987" spans="2:14" x14ac:dyDescent="0.2">
      <c r="B1987" s="15"/>
      <c r="C1987" s="6"/>
      <c r="D1987" s="12"/>
      <c r="E1987" s="10" t="str">
        <f t="shared" si="151"/>
        <v/>
      </c>
      <c r="F1987" s="16"/>
      <c r="G1987" s="13"/>
      <c r="H1987" s="6"/>
      <c r="I1987" s="6"/>
      <c r="J1987" s="11" t="str">
        <f t="shared" si="152"/>
        <v/>
      </c>
      <c r="K1987" s="17" t="str">
        <f t="shared" si="153"/>
        <v/>
      </c>
      <c r="L1987" s="18" t="str">
        <f t="shared" si="154"/>
        <v/>
      </c>
      <c r="M1987" s="18" t="str">
        <f>IF(J1987&lt;&gt;-1,"",ROUND(F1987*IFERROR(INDEX(Stocuri!$G$5:$G$204,MATCH(D1987,Coduri,0)),0),2))</f>
        <v/>
      </c>
      <c r="N1987" s="19" t="str">
        <f t="shared" si="155"/>
        <v/>
      </c>
    </row>
    <row r="1988" spans="2:14" x14ac:dyDescent="0.2">
      <c r="B1988" s="15"/>
      <c r="C1988" s="6"/>
      <c r="D1988" s="12"/>
      <c r="E1988" s="10" t="str">
        <f t="shared" si="151"/>
        <v/>
      </c>
      <c r="F1988" s="16"/>
      <c r="G1988" s="13"/>
      <c r="H1988" s="6"/>
      <c r="I1988" s="6"/>
      <c r="J1988" s="11" t="str">
        <f t="shared" si="152"/>
        <v/>
      </c>
      <c r="K1988" s="17" t="str">
        <f t="shared" si="153"/>
        <v/>
      </c>
      <c r="L1988" s="18" t="str">
        <f t="shared" si="154"/>
        <v/>
      </c>
      <c r="M1988" s="18" t="str">
        <f>IF(J1988&lt;&gt;-1,"",ROUND(F1988*IFERROR(INDEX(Stocuri!$G$5:$G$204,MATCH(D1988,Coduri,0)),0),2))</f>
        <v/>
      </c>
      <c r="N1988" s="19" t="str">
        <f t="shared" si="155"/>
        <v/>
      </c>
    </row>
    <row r="1989" spans="2:14" x14ac:dyDescent="0.2">
      <c r="B1989" s="15"/>
      <c r="C1989" s="6"/>
      <c r="D1989" s="12"/>
      <c r="E1989" s="10" t="str">
        <f t="shared" ref="E1989:E2052" si="156">IF(D1989="","",IFERROR(VLOOKUP(D1989,Catalog,2,FALSE),""))</f>
        <v/>
      </c>
      <c r="F1989" s="16"/>
      <c r="G1989" s="13"/>
      <c r="H1989" s="6"/>
      <c r="I1989" s="6"/>
      <c r="J1989" s="11" t="str">
        <f t="shared" ref="J1989:J2004" si="157">IF(C1989="","",IFERROR(VLOOKUP(C1989,TipSemn,2,FALSE),""))</f>
        <v/>
      </c>
      <c r="K1989" s="17" t="str">
        <f t="shared" ref="K1989:K2004" si="158">IF(OR(J1989="",F1989=""),"",J1989*F1989)</f>
        <v/>
      </c>
      <c r="L1989" s="18" t="str">
        <f t="shared" ref="L1989:L2004" si="159">IF(OR(J1989&lt;&gt;1,G1989=""),"",ROUND(F1989*G1989,2))</f>
        <v/>
      </c>
      <c r="M1989" s="18" t="str">
        <f>IF(J1989&lt;&gt;-1,"",ROUND(F1989*IFERROR(INDEX(Stocuri!$G$5:$G$204,MATCH(D1989,Coduri,0)),0),2))</f>
        <v/>
      </c>
      <c r="N1989" s="19" t="str">
        <f t="shared" ref="N1989:N2004" si="160">IF(AND(B1989="",D1989=""),"",TRIM(IF(OR(B1989="",C1989="",D1989="",F1989=""),"Date incomplete. ","")&amp;IF(AND(D1989&lt;&gt;"",E1989=""),"Cod necunoscut. ","")&amp;IF(AND(J1989=1,C1989&lt;&gt;"Retur de la client",C1989&lt;&gt;"Ajustare inventar +",G1989=""),"Lipsește prețul de intrare. ","")&amp;IF(AND(J1989=-1,D1989&lt;&gt;"",SUMIFS($K$5:$K$2004,$D$5:$D$2004,D1989,$B$5:$B$2004,"&lt;="&amp;B1989)&lt;0),"Stoc insuficient la această dată. ","")&amp;IF(AND(C1989&lt;&gt;"Stoc inițial",H1989=""),"Lipsește documentul. ","")))</f>
        <v/>
      </c>
    </row>
    <row r="1990" spans="2:14" x14ac:dyDescent="0.2">
      <c r="B1990" s="15"/>
      <c r="C1990" s="6"/>
      <c r="D1990" s="12"/>
      <c r="E1990" s="10" t="str">
        <f t="shared" si="156"/>
        <v/>
      </c>
      <c r="F1990" s="16"/>
      <c r="G1990" s="13"/>
      <c r="H1990" s="6"/>
      <c r="I1990" s="6"/>
      <c r="J1990" s="11" t="str">
        <f t="shared" si="157"/>
        <v/>
      </c>
      <c r="K1990" s="17" t="str">
        <f t="shared" si="158"/>
        <v/>
      </c>
      <c r="L1990" s="18" t="str">
        <f t="shared" si="159"/>
        <v/>
      </c>
      <c r="M1990" s="18" t="str">
        <f>IF(J1990&lt;&gt;-1,"",ROUND(F1990*IFERROR(INDEX(Stocuri!$G$5:$G$204,MATCH(D1990,Coduri,0)),0),2))</f>
        <v/>
      </c>
      <c r="N1990" s="19" t="str">
        <f t="shared" si="160"/>
        <v/>
      </c>
    </row>
    <row r="1991" spans="2:14" x14ac:dyDescent="0.2">
      <c r="B1991" s="15"/>
      <c r="C1991" s="6"/>
      <c r="D1991" s="12"/>
      <c r="E1991" s="10" t="str">
        <f t="shared" si="156"/>
        <v/>
      </c>
      <c r="F1991" s="16"/>
      <c r="G1991" s="13"/>
      <c r="H1991" s="6"/>
      <c r="I1991" s="6"/>
      <c r="J1991" s="11" t="str">
        <f t="shared" si="157"/>
        <v/>
      </c>
      <c r="K1991" s="17" t="str">
        <f t="shared" si="158"/>
        <v/>
      </c>
      <c r="L1991" s="18" t="str">
        <f t="shared" si="159"/>
        <v/>
      </c>
      <c r="M1991" s="18" t="str">
        <f>IF(J1991&lt;&gt;-1,"",ROUND(F1991*IFERROR(INDEX(Stocuri!$G$5:$G$204,MATCH(D1991,Coduri,0)),0),2))</f>
        <v/>
      </c>
      <c r="N1991" s="19" t="str">
        <f t="shared" si="160"/>
        <v/>
      </c>
    </row>
    <row r="1992" spans="2:14" x14ac:dyDescent="0.2">
      <c r="B1992" s="15"/>
      <c r="C1992" s="6"/>
      <c r="D1992" s="12"/>
      <c r="E1992" s="10" t="str">
        <f t="shared" si="156"/>
        <v/>
      </c>
      <c r="F1992" s="16"/>
      <c r="G1992" s="13"/>
      <c r="H1992" s="6"/>
      <c r="I1992" s="6"/>
      <c r="J1992" s="11" t="str">
        <f t="shared" si="157"/>
        <v/>
      </c>
      <c r="K1992" s="17" t="str">
        <f t="shared" si="158"/>
        <v/>
      </c>
      <c r="L1992" s="18" t="str">
        <f t="shared" si="159"/>
        <v/>
      </c>
      <c r="M1992" s="18" t="str">
        <f>IF(J1992&lt;&gt;-1,"",ROUND(F1992*IFERROR(INDEX(Stocuri!$G$5:$G$204,MATCH(D1992,Coduri,0)),0),2))</f>
        <v/>
      </c>
      <c r="N1992" s="19" t="str">
        <f t="shared" si="160"/>
        <v/>
      </c>
    </row>
    <row r="1993" spans="2:14" x14ac:dyDescent="0.2">
      <c r="B1993" s="15"/>
      <c r="C1993" s="6"/>
      <c r="D1993" s="12"/>
      <c r="E1993" s="10" t="str">
        <f t="shared" si="156"/>
        <v/>
      </c>
      <c r="F1993" s="16"/>
      <c r="G1993" s="13"/>
      <c r="H1993" s="6"/>
      <c r="I1993" s="6"/>
      <c r="J1993" s="11" t="str">
        <f t="shared" si="157"/>
        <v/>
      </c>
      <c r="K1993" s="17" t="str">
        <f t="shared" si="158"/>
        <v/>
      </c>
      <c r="L1993" s="18" t="str">
        <f t="shared" si="159"/>
        <v/>
      </c>
      <c r="M1993" s="18" t="str">
        <f>IF(J1993&lt;&gt;-1,"",ROUND(F1993*IFERROR(INDEX(Stocuri!$G$5:$G$204,MATCH(D1993,Coduri,0)),0),2))</f>
        <v/>
      </c>
      <c r="N1993" s="19" t="str">
        <f t="shared" si="160"/>
        <v/>
      </c>
    </row>
    <row r="1994" spans="2:14" x14ac:dyDescent="0.2">
      <c r="B1994" s="15"/>
      <c r="C1994" s="6"/>
      <c r="D1994" s="12"/>
      <c r="E1994" s="10" t="str">
        <f t="shared" si="156"/>
        <v/>
      </c>
      <c r="F1994" s="16"/>
      <c r="G1994" s="13"/>
      <c r="H1994" s="6"/>
      <c r="I1994" s="6"/>
      <c r="J1994" s="11" t="str">
        <f t="shared" si="157"/>
        <v/>
      </c>
      <c r="K1994" s="17" t="str">
        <f t="shared" si="158"/>
        <v/>
      </c>
      <c r="L1994" s="18" t="str">
        <f t="shared" si="159"/>
        <v/>
      </c>
      <c r="M1994" s="18" t="str">
        <f>IF(J1994&lt;&gt;-1,"",ROUND(F1994*IFERROR(INDEX(Stocuri!$G$5:$G$204,MATCH(D1994,Coduri,0)),0),2))</f>
        <v/>
      </c>
      <c r="N1994" s="19" t="str">
        <f t="shared" si="160"/>
        <v/>
      </c>
    </row>
    <row r="1995" spans="2:14" x14ac:dyDescent="0.2">
      <c r="B1995" s="15"/>
      <c r="C1995" s="6"/>
      <c r="D1995" s="12"/>
      <c r="E1995" s="10" t="str">
        <f t="shared" si="156"/>
        <v/>
      </c>
      <c r="F1995" s="16"/>
      <c r="G1995" s="13"/>
      <c r="H1995" s="6"/>
      <c r="I1995" s="6"/>
      <c r="J1995" s="11" t="str">
        <f t="shared" si="157"/>
        <v/>
      </c>
      <c r="K1995" s="17" t="str">
        <f t="shared" si="158"/>
        <v/>
      </c>
      <c r="L1995" s="18" t="str">
        <f t="shared" si="159"/>
        <v/>
      </c>
      <c r="M1995" s="18" t="str">
        <f>IF(J1995&lt;&gt;-1,"",ROUND(F1995*IFERROR(INDEX(Stocuri!$G$5:$G$204,MATCH(D1995,Coduri,0)),0),2))</f>
        <v/>
      </c>
      <c r="N1995" s="19" t="str">
        <f t="shared" si="160"/>
        <v/>
      </c>
    </row>
    <row r="1996" spans="2:14" x14ac:dyDescent="0.2">
      <c r="B1996" s="15"/>
      <c r="C1996" s="6"/>
      <c r="D1996" s="12"/>
      <c r="E1996" s="10" t="str">
        <f t="shared" si="156"/>
        <v/>
      </c>
      <c r="F1996" s="16"/>
      <c r="G1996" s="13"/>
      <c r="H1996" s="6"/>
      <c r="I1996" s="6"/>
      <c r="J1996" s="11" t="str">
        <f t="shared" si="157"/>
        <v/>
      </c>
      <c r="K1996" s="17" t="str">
        <f t="shared" si="158"/>
        <v/>
      </c>
      <c r="L1996" s="18" t="str">
        <f t="shared" si="159"/>
        <v/>
      </c>
      <c r="M1996" s="18" t="str">
        <f>IF(J1996&lt;&gt;-1,"",ROUND(F1996*IFERROR(INDEX(Stocuri!$G$5:$G$204,MATCH(D1996,Coduri,0)),0),2))</f>
        <v/>
      </c>
      <c r="N1996" s="19" t="str">
        <f t="shared" si="160"/>
        <v/>
      </c>
    </row>
    <row r="1997" spans="2:14" x14ac:dyDescent="0.2">
      <c r="B1997" s="15"/>
      <c r="C1997" s="6"/>
      <c r="D1997" s="12"/>
      <c r="E1997" s="10" t="str">
        <f t="shared" si="156"/>
        <v/>
      </c>
      <c r="F1997" s="16"/>
      <c r="G1997" s="13"/>
      <c r="H1997" s="6"/>
      <c r="I1997" s="6"/>
      <c r="J1997" s="11" t="str">
        <f t="shared" si="157"/>
        <v/>
      </c>
      <c r="K1997" s="17" t="str">
        <f t="shared" si="158"/>
        <v/>
      </c>
      <c r="L1997" s="18" t="str">
        <f t="shared" si="159"/>
        <v/>
      </c>
      <c r="M1997" s="18" t="str">
        <f>IF(J1997&lt;&gt;-1,"",ROUND(F1997*IFERROR(INDEX(Stocuri!$G$5:$G$204,MATCH(D1997,Coduri,0)),0),2))</f>
        <v/>
      </c>
      <c r="N1997" s="19" t="str">
        <f t="shared" si="160"/>
        <v/>
      </c>
    </row>
    <row r="1998" spans="2:14" x14ac:dyDescent="0.2">
      <c r="B1998" s="15"/>
      <c r="C1998" s="6"/>
      <c r="D1998" s="12"/>
      <c r="E1998" s="10" t="str">
        <f t="shared" si="156"/>
        <v/>
      </c>
      <c r="F1998" s="16"/>
      <c r="G1998" s="13"/>
      <c r="H1998" s="6"/>
      <c r="I1998" s="6"/>
      <c r="J1998" s="11" t="str">
        <f t="shared" si="157"/>
        <v/>
      </c>
      <c r="K1998" s="17" t="str">
        <f t="shared" si="158"/>
        <v/>
      </c>
      <c r="L1998" s="18" t="str">
        <f t="shared" si="159"/>
        <v/>
      </c>
      <c r="M1998" s="18" t="str">
        <f>IF(J1998&lt;&gt;-1,"",ROUND(F1998*IFERROR(INDEX(Stocuri!$G$5:$G$204,MATCH(D1998,Coduri,0)),0),2))</f>
        <v/>
      </c>
      <c r="N1998" s="19" t="str">
        <f t="shared" si="160"/>
        <v/>
      </c>
    </row>
    <row r="1999" spans="2:14" x14ac:dyDescent="0.2">
      <c r="B1999" s="15"/>
      <c r="C1999" s="6"/>
      <c r="D1999" s="12"/>
      <c r="E1999" s="10" t="str">
        <f t="shared" si="156"/>
        <v/>
      </c>
      <c r="F1999" s="16"/>
      <c r="G1999" s="13"/>
      <c r="H1999" s="6"/>
      <c r="I1999" s="6"/>
      <c r="J1999" s="11" t="str">
        <f t="shared" si="157"/>
        <v/>
      </c>
      <c r="K1999" s="17" t="str">
        <f t="shared" si="158"/>
        <v/>
      </c>
      <c r="L1999" s="18" t="str">
        <f t="shared" si="159"/>
        <v/>
      </c>
      <c r="M1999" s="18" t="str">
        <f>IF(J1999&lt;&gt;-1,"",ROUND(F1999*IFERROR(INDEX(Stocuri!$G$5:$G$204,MATCH(D1999,Coduri,0)),0),2))</f>
        <v/>
      </c>
      <c r="N1999" s="19" t="str">
        <f t="shared" si="160"/>
        <v/>
      </c>
    </row>
    <row r="2000" spans="2:14" x14ac:dyDescent="0.2">
      <c r="B2000" s="15"/>
      <c r="C2000" s="6"/>
      <c r="D2000" s="12"/>
      <c r="E2000" s="10" t="str">
        <f t="shared" si="156"/>
        <v/>
      </c>
      <c r="F2000" s="16"/>
      <c r="G2000" s="13"/>
      <c r="H2000" s="6"/>
      <c r="I2000" s="6"/>
      <c r="J2000" s="11" t="str">
        <f t="shared" si="157"/>
        <v/>
      </c>
      <c r="K2000" s="17" t="str">
        <f t="shared" si="158"/>
        <v/>
      </c>
      <c r="L2000" s="18" t="str">
        <f t="shared" si="159"/>
        <v/>
      </c>
      <c r="M2000" s="18" t="str">
        <f>IF(J2000&lt;&gt;-1,"",ROUND(F2000*IFERROR(INDEX(Stocuri!$G$5:$G$204,MATCH(D2000,Coduri,0)),0),2))</f>
        <v/>
      </c>
      <c r="N2000" s="19" t="str">
        <f t="shared" si="160"/>
        <v/>
      </c>
    </row>
    <row r="2001" spans="2:14" x14ac:dyDescent="0.2">
      <c r="B2001" s="15"/>
      <c r="C2001" s="6"/>
      <c r="D2001" s="12"/>
      <c r="E2001" s="10" t="str">
        <f t="shared" si="156"/>
        <v/>
      </c>
      <c r="F2001" s="16"/>
      <c r="G2001" s="13"/>
      <c r="H2001" s="6"/>
      <c r="I2001" s="6"/>
      <c r="J2001" s="11" t="str">
        <f t="shared" si="157"/>
        <v/>
      </c>
      <c r="K2001" s="17" t="str">
        <f t="shared" si="158"/>
        <v/>
      </c>
      <c r="L2001" s="18" t="str">
        <f t="shared" si="159"/>
        <v/>
      </c>
      <c r="M2001" s="18" t="str">
        <f>IF(J2001&lt;&gt;-1,"",ROUND(F2001*IFERROR(INDEX(Stocuri!$G$5:$G$204,MATCH(D2001,Coduri,0)),0),2))</f>
        <v/>
      </c>
      <c r="N2001" s="19" t="str">
        <f t="shared" si="160"/>
        <v/>
      </c>
    </row>
    <row r="2002" spans="2:14" x14ac:dyDescent="0.2">
      <c r="B2002" s="15"/>
      <c r="C2002" s="6"/>
      <c r="D2002" s="12"/>
      <c r="E2002" s="10" t="str">
        <f t="shared" si="156"/>
        <v/>
      </c>
      <c r="F2002" s="16"/>
      <c r="G2002" s="13"/>
      <c r="H2002" s="6"/>
      <c r="I2002" s="6"/>
      <c r="J2002" s="11" t="str">
        <f t="shared" si="157"/>
        <v/>
      </c>
      <c r="K2002" s="17" t="str">
        <f t="shared" si="158"/>
        <v/>
      </c>
      <c r="L2002" s="18" t="str">
        <f t="shared" si="159"/>
        <v/>
      </c>
      <c r="M2002" s="18" t="str">
        <f>IF(J2002&lt;&gt;-1,"",ROUND(F2002*IFERROR(INDEX(Stocuri!$G$5:$G$204,MATCH(D2002,Coduri,0)),0),2))</f>
        <v/>
      </c>
      <c r="N2002" s="19" t="str">
        <f t="shared" si="160"/>
        <v/>
      </c>
    </row>
    <row r="2003" spans="2:14" x14ac:dyDescent="0.2">
      <c r="B2003" s="15"/>
      <c r="C2003" s="6"/>
      <c r="D2003" s="12"/>
      <c r="E2003" s="10" t="str">
        <f t="shared" si="156"/>
        <v/>
      </c>
      <c r="F2003" s="16"/>
      <c r="G2003" s="13"/>
      <c r="H2003" s="6"/>
      <c r="I2003" s="6"/>
      <c r="J2003" s="11" t="str">
        <f t="shared" si="157"/>
        <v/>
      </c>
      <c r="K2003" s="17" t="str">
        <f t="shared" si="158"/>
        <v/>
      </c>
      <c r="L2003" s="18" t="str">
        <f t="shared" si="159"/>
        <v/>
      </c>
      <c r="M2003" s="18" t="str">
        <f>IF(J2003&lt;&gt;-1,"",ROUND(F2003*IFERROR(INDEX(Stocuri!$G$5:$G$204,MATCH(D2003,Coduri,0)),0),2))</f>
        <v/>
      </c>
      <c r="N2003" s="19" t="str">
        <f t="shared" si="160"/>
        <v/>
      </c>
    </row>
    <row r="2004" spans="2:14" x14ac:dyDescent="0.2">
      <c r="B2004" s="15"/>
      <c r="C2004" s="6"/>
      <c r="D2004" s="12"/>
      <c r="E2004" s="10" t="str">
        <f t="shared" si="156"/>
        <v/>
      </c>
      <c r="F2004" s="16"/>
      <c r="G2004" s="13"/>
      <c r="H2004" s="6"/>
      <c r="I2004" s="6"/>
      <c r="J2004" s="11" t="str">
        <f t="shared" si="157"/>
        <v/>
      </c>
      <c r="K2004" s="17" t="str">
        <f t="shared" si="158"/>
        <v/>
      </c>
      <c r="L2004" s="18" t="str">
        <f t="shared" si="159"/>
        <v/>
      </c>
      <c r="M2004" s="18" t="str">
        <f>IF(J2004&lt;&gt;-1,"",ROUND(F2004*IFERROR(INDEX(Stocuri!$G$5:$G$204,MATCH(D2004,Coduri,0)),0),2))</f>
        <v/>
      </c>
      <c r="N2004" s="19" t="str">
        <f t="shared" si="160"/>
        <v/>
      </c>
    </row>
  </sheetData>
  <conditionalFormatting sqref="K5:K2004">
    <cfRule type="cellIs" dxfId="3" priority="1" stopIfTrue="1" operator="lessThan">
      <formula>0</formula>
    </cfRule>
    <cfRule type="cellIs" dxfId="2" priority="2" stopIfTrue="1" operator="greaterThan">
      <formula>0</formula>
    </cfRule>
  </conditionalFormatting>
  <dataValidations count="2">
    <dataValidation type="list" allowBlank="1" showInputMessage="1" showErrorMessage="1" sqref="C5:C2004" xr:uid="{10C3B8C3-45E3-4C21-888B-5E6369A7905C}">
      <formula1>Tipuri</formula1>
    </dataValidation>
    <dataValidation type="list" allowBlank="1" showInputMessage="1" showErrorMessage="1" sqref="D5:D2004" xr:uid="{66834DD3-F9D7-431C-85C8-052BD2FFC275}">
      <formula1>Coduri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C1F60-25DB-47AC-A26F-B877E25EF8E3}">
  <dimension ref="B1:O45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2.7109375" style="1" customWidth="1"/>
    <col min="3" max="3" width="7.7109375" style="1" customWidth="1"/>
    <col min="4" max="4" width="32.7109375" style="1" customWidth="1"/>
    <col min="5" max="5" width="6.7109375" style="1" customWidth="1"/>
    <col min="6" max="8" width="9.7109375" style="1" customWidth="1"/>
    <col min="9" max="9" width="11.7109375" style="1" customWidth="1"/>
    <col min="10" max="10" width="10.7109375" style="1" customWidth="1"/>
    <col min="11" max="11" width="12.7109375" style="1" customWidth="1"/>
    <col min="12" max="12" width="9.7109375" style="1" customWidth="1"/>
    <col min="13" max="13" width="11.7109375" style="1" customWidth="1"/>
    <col min="14" max="14" width="11.42578125" style="1"/>
    <col min="15" max="15" width="4.7109375" style="1" customWidth="1"/>
    <col min="16" max="16384" width="11.42578125" style="1"/>
  </cols>
  <sheetData>
    <row r="1" spans="2:15" ht="21" x14ac:dyDescent="0.35">
      <c r="B1" s="2" t="s">
        <v>274</v>
      </c>
    </row>
    <row r="2" spans="2:15" x14ac:dyDescent="0.2">
      <c r="B2" s="3" t="s">
        <v>275</v>
      </c>
    </row>
    <row r="4" spans="2:15" ht="30" customHeight="1" x14ac:dyDescent="0.2">
      <c r="B4" s="9" t="s">
        <v>32</v>
      </c>
      <c r="C4" s="9" t="s">
        <v>28</v>
      </c>
      <c r="D4" s="9" t="s">
        <v>29</v>
      </c>
      <c r="E4" s="9" t="s">
        <v>31</v>
      </c>
      <c r="F4" s="9" t="s">
        <v>265</v>
      </c>
      <c r="G4" s="9" t="s">
        <v>35</v>
      </c>
      <c r="H4" s="9" t="s">
        <v>36</v>
      </c>
      <c r="I4" s="9" t="s">
        <v>276</v>
      </c>
      <c r="J4" s="9" t="s">
        <v>277</v>
      </c>
      <c r="K4" s="9" t="s">
        <v>278</v>
      </c>
      <c r="L4" s="9" t="s">
        <v>37</v>
      </c>
      <c r="M4" s="9" t="s">
        <v>279</v>
      </c>
    </row>
    <row r="5" spans="2:15" x14ac:dyDescent="0.2">
      <c r="B5" s="10" t="str">
        <f ca="1">IF($O5=0,"",INDEX(Produse!$F$5:$F$204,$O5))</f>
        <v>ElectroMag SRL</v>
      </c>
      <c r="C5" s="11" t="str">
        <f ca="1">IF($O5=0,"",INDEX(Stocuri!$B$5:$B$204,$O5))</f>
        <v>P02</v>
      </c>
      <c r="D5" s="10" t="str">
        <f ca="1">IF($O5=0,"",INDEX(Stocuri!$C$5:$C$204,$O5))</f>
        <v>Tub flexibil PVC 20 mm</v>
      </c>
      <c r="E5" s="11" t="str">
        <f ca="1">IF($O5=0,"",INDEX(Stocuri!$E$5:$E$204,$O5))</f>
        <v>m</v>
      </c>
      <c r="F5" s="17">
        <f ca="1">IF($O5=0,"",INDEX(Stocuri!$F$5:$F$204,$O5))</f>
        <v>100</v>
      </c>
      <c r="G5" s="17">
        <f ca="1">IF($O5=0,"",INDEX(Stocuri!$I$5:$I$204,$O5))</f>
        <v>200</v>
      </c>
      <c r="H5" s="17">
        <f ca="1">IF($O5=0,"",INDEX(Stocuri!$J$5:$J$204,$O5))</f>
        <v>800</v>
      </c>
      <c r="I5" s="26">
        <f ca="1">IF($O5=0,"",INDEX(Stocuri!$P$5:$P$204,$O5))</f>
        <v>700</v>
      </c>
      <c r="J5" s="18">
        <f ca="1">IF($O5=0,"",INDEX(Produse!$G$5:$G$204,$O5))</f>
        <v>1.2</v>
      </c>
      <c r="K5" s="18">
        <f t="shared" ref="K5:K44" ca="1" si="0">IF($O5=0,"",ROUND(I5*J5,2))</f>
        <v>840</v>
      </c>
      <c r="L5" s="11">
        <f ca="1">IF($O5=0,"",INDEX(Produse!$K$5:$K$204,$O5))</f>
        <v>5</v>
      </c>
      <c r="M5" s="22">
        <f t="shared" ref="M5:M44" ca="1" si="1">IF($O5=0,"",WORKDAY(Azi,L5))</f>
        <v>46315</v>
      </c>
      <c r="O5" s="23">
        <f ca="1">IFERROR(_xlfn.AGGREGATE(15,6,(ROW(Stocuri!$P$5:$P$204)-4)/(ISNUMBER(Stocuri!$P$5:$P$204)*(Stocuri!$P$5:$P$204&gt;0)),1),0)</f>
        <v>2</v>
      </c>
    </row>
    <row r="6" spans="2:15" x14ac:dyDescent="0.2">
      <c r="B6" s="10" t="str">
        <f ca="1">IF($O6=0,"",INDEX(Produse!$F$5:$F$204,$O6))</f>
        <v>Schneider Distribuție</v>
      </c>
      <c r="C6" s="11" t="str">
        <f ca="1">IF($O6=0,"",INDEX(Stocuri!$B$5:$B$204,$O6))</f>
        <v>P05</v>
      </c>
      <c r="D6" s="10" t="str">
        <f ca="1">IF($O6=0,"",INDEX(Stocuri!$C$5:$C$204,$O6))</f>
        <v>Priză dublă cu împământare</v>
      </c>
      <c r="E6" s="11" t="str">
        <f ca="1">IF($O6=0,"",INDEX(Stocuri!$E$5:$E$204,$O6))</f>
        <v>buc</v>
      </c>
      <c r="F6" s="17">
        <f ca="1">IF($O6=0,"",INDEX(Stocuri!$F$5:$F$204,$O6))</f>
        <v>30</v>
      </c>
      <c r="G6" s="17">
        <f ca="1">IF($O6=0,"",INDEX(Stocuri!$I$5:$I$204,$O6))</f>
        <v>40</v>
      </c>
      <c r="H6" s="17">
        <f ca="1">IF($O6=0,"",INDEX(Stocuri!$J$5:$J$204,$O6))</f>
        <v>200</v>
      </c>
      <c r="I6" s="26">
        <f ca="1">IF($O6=0,"",INDEX(Stocuri!$P$5:$P$204,$O6))</f>
        <v>170</v>
      </c>
      <c r="J6" s="18">
        <f ca="1">IF($O6=0,"",INDEX(Produse!$G$5:$G$204,$O6))</f>
        <v>12.7</v>
      </c>
      <c r="K6" s="18">
        <f t="shared" ca="1" si="0"/>
        <v>2159</v>
      </c>
      <c r="L6" s="11">
        <f ca="1">IF($O6=0,"",INDEX(Produse!$K$5:$K$204,$O6))</f>
        <v>7</v>
      </c>
      <c r="M6" s="22">
        <f t="shared" ca="1" si="1"/>
        <v>46317</v>
      </c>
      <c r="O6" s="23">
        <f ca="1">IFERROR(_xlfn.AGGREGATE(15,6,(ROW(Stocuri!$P$5:$P$204)-4)/(ISNUMBER(Stocuri!$P$5:$P$204)*(Stocuri!$P$5:$P$204&gt;0)),2),0)</f>
        <v>5</v>
      </c>
    </row>
    <row r="7" spans="2:15" x14ac:dyDescent="0.2">
      <c r="B7" s="10" t="str">
        <f ca="1">IF($O7=0,"",INDEX(Produse!$F$5:$F$204,$O7))</f>
        <v>LuxLED Import</v>
      </c>
      <c r="C7" s="11" t="str">
        <f ca="1">IF($O7=0,"",INDEX(Stocuri!$B$5:$B$204,$O7))</f>
        <v>P08</v>
      </c>
      <c r="D7" s="10" t="str">
        <f ca="1">IF($O7=0,"",INDEX(Stocuri!$C$5:$C$204,$O7))</f>
        <v>Corp iluminat LED 36W</v>
      </c>
      <c r="E7" s="11" t="str">
        <f ca="1">IF($O7=0,"",INDEX(Stocuri!$E$5:$E$204,$O7))</f>
        <v>buc</v>
      </c>
      <c r="F7" s="17">
        <f ca="1">IF($O7=0,"",INDEX(Stocuri!$F$5:$F$204,$O7))</f>
        <v>16</v>
      </c>
      <c r="G7" s="17">
        <f ca="1">IF($O7=0,"",INDEX(Stocuri!$I$5:$I$204,$O7))</f>
        <v>20</v>
      </c>
      <c r="H7" s="17">
        <f ca="1">IF($O7=0,"",INDEX(Stocuri!$J$5:$J$204,$O7))</f>
        <v>100</v>
      </c>
      <c r="I7" s="26">
        <f ca="1">IF($O7=0,"",INDEX(Stocuri!$P$5:$P$204,$O7))</f>
        <v>84</v>
      </c>
      <c r="J7" s="18">
        <f ca="1">IF($O7=0,"",INDEX(Produse!$G$5:$G$204,$O7))</f>
        <v>62</v>
      </c>
      <c r="K7" s="18">
        <f t="shared" ca="1" si="0"/>
        <v>5208</v>
      </c>
      <c r="L7" s="11">
        <f ca="1">IF($O7=0,"",INDEX(Produse!$K$5:$K$204,$O7))</f>
        <v>10</v>
      </c>
      <c r="M7" s="22">
        <f t="shared" ca="1" si="1"/>
        <v>46322</v>
      </c>
      <c r="O7" s="23">
        <f ca="1">IFERROR(_xlfn.AGGREGATE(15,6,(ROW(Stocuri!$P$5:$P$204)-4)/(ISNUMBER(Stocuri!$P$5:$P$204)*(Stocuri!$P$5:$P$204&gt;0)),3),0)</f>
        <v>8</v>
      </c>
    </row>
    <row r="8" spans="2:15" x14ac:dyDescent="0.2">
      <c r="B8" s="10" t="str">
        <f ca="1">IF($O8=0,"",INDEX(Produse!$F$5:$F$204,$O8))</f>
        <v>ElectroMag SRL</v>
      </c>
      <c r="C8" s="11" t="str">
        <f ca="1">IF($O8=0,"",INDEX(Stocuri!$B$5:$B$204,$O8))</f>
        <v>P12</v>
      </c>
      <c r="D8" s="10" t="str">
        <f ca="1">IF($O8=0,"",INDEX(Stocuri!$C$5:$C$204,$O8))</f>
        <v>Cablu MYF 1,5 mm</v>
      </c>
      <c r="E8" s="11" t="str">
        <f ca="1">IF($O8=0,"",INDEX(Stocuri!$E$5:$E$204,$O8))</f>
        <v>m</v>
      </c>
      <c r="F8" s="17">
        <f ca="1">IF($O8=0,"",INDEX(Stocuri!$F$5:$F$204,$O8))</f>
        <v>0</v>
      </c>
      <c r="G8" s="17">
        <f ca="1">IF($O8=0,"",INDEX(Stocuri!$I$5:$I$204,$O8))</f>
        <v>300</v>
      </c>
      <c r="H8" s="17">
        <f ca="1">IF($O8=0,"",INDEX(Stocuri!$J$5:$J$204,$O8))</f>
        <v>1500</v>
      </c>
      <c r="I8" s="26">
        <f ca="1">IF($O8=0,"",INDEX(Stocuri!$P$5:$P$204,$O8))</f>
        <v>1500</v>
      </c>
      <c r="J8" s="18">
        <f ca="1">IF($O8=0,"",INDEX(Produse!$G$5:$G$204,$O8))</f>
        <v>1.1000000000000001</v>
      </c>
      <c r="K8" s="18">
        <f t="shared" ca="1" si="0"/>
        <v>1650</v>
      </c>
      <c r="L8" s="11">
        <f ca="1">IF($O8=0,"",INDEX(Produse!$K$5:$K$204,$O8))</f>
        <v>5</v>
      </c>
      <c r="M8" s="22">
        <f t="shared" ca="1" si="1"/>
        <v>46315</v>
      </c>
      <c r="O8" s="23">
        <f ca="1">IFERROR(_xlfn.AGGREGATE(15,6,(ROW(Stocuri!$P$5:$P$204)-4)/(ISNUMBER(Stocuri!$P$5:$P$204)*(Stocuri!$P$5:$P$204&gt;0)),4),0)</f>
        <v>12</v>
      </c>
    </row>
    <row r="9" spans="2:15" x14ac:dyDescent="0.2">
      <c r="B9" s="10" t="str">
        <f ca="1">IF($O9=0,"",INDEX(Produse!$F$5:$F$204,$O9))</f>
        <v/>
      </c>
      <c r="C9" s="11" t="str">
        <f ca="1">IF($O9=0,"",INDEX(Stocuri!$B$5:$B$204,$O9))</f>
        <v/>
      </c>
      <c r="D9" s="10" t="str">
        <f ca="1">IF($O9=0,"",INDEX(Stocuri!$C$5:$C$204,$O9))</f>
        <v/>
      </c>
      <c r="E9" s="11" t="str">
        <f ca="1">IF($O9=0,"",INDEX(Stocuri!$E$5:$E$204,$O9))</f>
        <v/>
      </c>
      <c r="F9" s="17" t="str">
        <f ca="1">IF($O9=0,"",INDEX(Stocuri!$F$5:$F$204,$O9))</f>
        <v/>
      </c>
      <c r="G9" s="17" t="str">
        <f ca="1">IF($O9=0,"",INDEX(Stocuri!$I$5:$I$204,$O9))</f>
        <v/>
      </c>
      <c r="H9" s="17" t="str">
        <f ca="1">IF($O9=0,"",INDEX(Stocuri!$J$5:$J$204,$O9))</f>
        <v/>
      </c>
      <c r="I9" s="26" t="str">
        <f ca="1">IF($O9=0,"",INDEX(Stocuri!$P$5:$P$204,$O9))</f>
        <v/>
      </c>
      <c r="J9" s="18" t="str">
        <f ca="1">IF($O9=0,"",INDEX(Produse!$G$5:$G$204,$O9))</f>
        <v/>
      </c>
      <c r="K9" s="18" t="str">
        <f t="shared" ca="1" si="0"/>
        <v/>
      </c>
      <c r="L9" s="11" t="str">
        <f ca="1">IF($O9=0,"",INDEX(Produse!$K$5:$K$204,$O9))</f>
        <v/>
      </c>
      <c r="M9" s="22" t="str">
        <f t="shared" ca="1" si="1"/>
        <v/>
      </c>
      <c r="O9" s="23">
        <f ca="1">IFERROR(_xlfn.AGGREGATE(15,6,(ROW(Stocuri!$P$5:$P$204)-4)/(ISNUMBER(Stocuri!$P$5:$P$204)*(Stocuri!$P$5:$P$204&gt;0)),5),0)</f>
        <v>0</v>
      </c>
    </row>
    <row r="10" spans="2:15" x14ac:dyDescent="0.2">
      <c r="B10" s="10" t="str">
        <f ca="1">IF($O10=0,"",INDEX(Produse!$F$5:$F$204,$O10))</f>
        <v/>
      </c>
      <c r="C10" s="11" t="str">
        <f ca="1">IF($O10=0,"",INDEX(Stocuri!$B$5:$B$204,$O10))</f>
        <v/>
      </c>
      <c r="D10" s="10" t="str">
        <f ca="1">IF($O10=0,"",INDEX(Stocuri!$C$5:$C$204,$O10))</f>
        <v/>
      </c>
      <c r="E10" s="11" t="str">
        <f ca="1">IF($O10=0,"",INDEX(Stocuri!$E$5:$E$204,$O10))</f>
        <v/>
      </c>
      <c r="F10" s="17" t="str">
        <f ca="1">IF($O10=0,"",INDEX(Stocuri!$F$5:$F$204,$O10))</f>
        <v/>
      </c>
      <c r="G10" s="17" t="str">
        <f ca="1">IF($O10=0,"",INDEX(Stocuri!$I$5:$I$204,$O10))</f>
        <v/>
      </c>
      <c r="H10" s="17" t="str">
        <f ca="1">IF($O10=0,"",INDEX(Stocuri!$J$5:$J$204,$O10))</f>
        <v/>
      </c>
      <c r="I10" s="26" t="str">
        <f ca="1">IF($O10=0,"",INDEX(Stocuri!$P$5:$P$204,$O10))</f>
        <v/>
      </c>
      <c r="J10" s="18" t="str">
        <f ca="1">IF($O10=0,"",INDEX(Produse!$G$5:$G$204,$O10))</f>
        <v/>
      </c>
      <c r="K10" s="18" t="str">
        <f t="shared" ca="1" si="0"/>
        <v/>
      </c>
      <c r="L10" s="11" t="str">
        <f ca="1">IF($O10=0,"",INDEX(Produse!$K$5:$K$204,$O10))</f>
        <v/>
      </c>
      <c r="M10" s="22" t="str">
        <f t="shared" ca="1" si="1"/>
        <v/>
      </c>
      <c r="O10" s="23">
        <f ca="1">IFERROR(_xlfn.AGGREGATE(15,6,(ROW(Stocuri!$P$5:$P$204)-4)/(ISNUMBER(Stocuri!$P$5:$P$204)*(Stocuri!$P$5:$P$204&gt;0)),6),0)</f>
        <v>0</v>
      </c>
    </row>
    <row r="11" spans="2:15" x14ac:dyDescent="0.2">
      <c r="B11" s="10" t="str">
        <f ca="1">IF($O11=0,"",INDEX(Produse!$F$5:$F$204,$O11))</f>
        <v/>
      </c>
      <c r="C11" s="11" t="str">
        <f ca="1">IF($O11=0,"",INDEX(Stocuri!$B$5:$B$204,$O11))</f>
        <v/>
      </c>
      <c r="D11" s="10" t="str">
        <f ca="1">IF($O11=0,"",INDEX(Stocuri!$C$5:$C$204,$O11))</f>
        <v/>
      </c>
      <c r="E11" s="11" t="str">
        <f ca="1">IF($O11=0,"",INDEX(Stocuri!$E$5:$E$204,$O11))</f>
        <v/>
      </c>
      <c r="F11" s="17" t="str">
        <f ca="1">IF($O11=0,"",INDEX(Stocuri!$F$5:$F$204,$O11))</f>
        <v/>
      </c>
      <c r="G11" s="17" t="str">
        <f ca="1">IF($O11=0,"",INDEX(Stocuri!$I$5:$I$204,$O11))</f>
        <v/>
      </c>
      <c r="H11" s="17" t="str">
        <f ca="1">IF($O11=0,"",INDEX(Stocuri!$J$5:$J$204,$O11))</f>
        <v/>
      </c>
      <c r="I11" s="26" t="str">
        <f ca="1">IF($O11=0,"",INDEX(Stocuri!$P$5:$P$204,$O11))</f>
        <v/>
      </c>
      <c r="J11" s="18" t="str">
        <f ca="1">IF($O11=0,"",INDEX(Produse!$G$5:$G$204,$O11))</f>
        <v/>
      </c>
      <c r="K11" s="18" t="str">
        <f t="shared" ca="1" si="0"/>
        <v/>
      </c>
      <c r="L11" s="11" t="str">
        <f ca="1">IF($O11=0,"",INDEX(Produse!$K$5:$K$204,$O11))</f>
        <v/>
      </c>
      <c r="M11" s="22" t="str">
        <f t="shared" ca="1" si="1"/>
        <v/>
      </c>
      <c r="O11" s="23">
        <f ca="1">IFERROR(_xlfn.AGGREGATE(15,6,(ROW(Stocuri!$P$5:$P$204)-4)/(ISNUMBER(Stocuri!$P$5:$P$204)*(Stocuri!$P$5:$P$204&gt;0)),7),0)</f>
        <v>0</v>
      </c>
    </row>
    <row r="12" spans="2:15" x14ac:dyDescent="0.2">
      <c r="B12" s="10" t="str">
        <f ca="1">IF($O12=0,"",INDEX(Produse!$F$5:$F$204,$O12))</f>
        <v/>
      </c>
      <c r="C12" s="11" t="str">
        <f ca="1">IF($O12=0,"",INDEX(Stocuri!$B$5:$B$204,$O12))</f>
        <v/>
      </c>
      <c r="D12" s="10" t="str">
        <f ca="1">IF($O12=0,"",INDEX(Stocuri!$C$5:$C$204,$O12))</f>
        <v/>
      </c>
      <c r="E12" s="11" t="str">
        <f ca="1">IF($O12=0,"",INDEX(Stocuri!$E$5:$E$204,$O12))</f>
        <v/>
      </c>
      <c r="F12" s="17" t="str">
        <f ca="1">IF($O12=0,"",INDEX(Stocuri!$F$5:$F$204,$O12))</f>
        <v/>
      </c>
      <c r="G12" s="17" t="str">
        <f ca="1">IF($O12=0,"",INDEX(Stocuri!$I$5:$I$204,$O12))</f>
        <v/>
      </c>
      <c r="H12" s="17" t="str">
        <f ca="1">IF($O12=0,"",INDEX(Stocuri!$J$5:$J$204,$O12))</f>
        <v/>
      </c>
      <c r="I12" s="26" t="str">
        <f ca="1">IF($O12=0,"",INDEX(Stocuri!$P$5:$P$204,$O12))</f>
        <v/>
      </c>
      <c r="J12" s="18" t="str">
        <f ca="1">IF($O12=0,"",INDEX(Produse!$G$5:$G$204,$O12))</f>
        <v/>
      </c>
      <c r="K12" s="18" t="str">
        <f t="shared" ca="1" si="0"/>
        <v/>
      </c>
      <c r="L12" s="11" t="str">
        <f ca="1">IF($O12=0,"",INDEX(Produse!$K$5:$K$204,$O12))</f>
        <v/>
      </c>
      <c r="M12" s="22" t="str">
        <f t="shared" ca="1" si="1"/>
        <v/>
      </c>
      <c r="O12" s="23">
        <f ca="1">IFERROR(_xlfn.AGGREGATE(15,6,(ROW(Stocuri!$P$5:$P$204)-4)/(ISNUMBER(Stocuri!$P$5:$P$204)*(Stocuri!$P$5:$P$204&gt;0)),8),0)</f>
        <v>0</v>
      </c>
    </row>
    <row r="13" spans="2:15" x14ac:dyDescent="0.2">
      <c r="B13" s="10" t="str">
        <f ca="1">IF($O13=0,"",INDEX(Produse!$F$5:$F$204,$O13))</f>
        <v/>
      </c>
      <c r="C13" s="11" t="str">
        <f ca="1">IF($O13=0,"",INDEX(Stocuri!$B$5:$B$204,$O13))</f>
        <v/>
      </c>
      <c r="D13" s="10" t="str">
        <f ca="1">IF($O13=0,"",INDEX(Stocuri!$C$5:$C$204,$O13))</f>
        <v/>
      </c>
      <c r="E13" s="11" t="str">
        <f ca="1">IF($O13=0,"",INDEX(Stocuri!$E$5:$E$204,$O13))</f>
        <v/>
      </c>
      <c r="F13" s="17" t="str">
        <f ca="1">IF($O13=0,"",INDEX(Stocuri!$F$5:$F$204,$O13))</f>
        <v/>
      </c>
      <c r="G13" s="17" t="str">
        <f ca="1">IF($O13=0,"",INDEX(Stocuri!$I$5:$I$204,$O13))</f>
        <v/>
      </c>
      <c r="H13" s="17" t="str">
        <f ca="1">IF($O13=0,"",INDEX(Stocuri!$J$5:$J$204,$O13))</f>
        <v/>
      </c>
      <c r="I13" s="26" t="str">
        <f ca="1">IF($O13=0,"",INDEX(Stocuri!$P$5:$P$204,$O13))</f>
        <v/>
      </c>
      <c r="J13" s="18" t="str">
        <f ca="1">IF($O13=0,"",INDEX(Produse!$G$5:$G$204,$O13))</f>
        <v/>
      </c>
      <c r="K13" s="18" t="str">
        <f t="shared" ca="1" si="0"/>
        <v/>
      </c>
      <c r="L13" s="11" t="str">
        <f ca="1">IF($O13=0,"",INDEX(Produse!$K$5:$K$204,$O13))</f>
        <v/>
      </c>
      <c r="M13" s="22" t="str">
        <f t="shared" ca="1" si="1"/>
        <v/>
      </c>
      <c r="O13" s="23">
        <f ca="1">IFERROR(_xlfn.AGGREGATE(15,6,(ROW(Stocuri!$P$5:$P$204)-4)/(ISNUMBER(Stocuri!$P$5:$P$204)*(Stocuri!$P$5:$P$204&gt;0)),9),0)</f>
        <v>0</v>
      </c>
    </row>
    <row r="14" spans="2:15" x14ac:dyDescent="0.2">
      <c r="B14" s="10" t="str">
        <f ca="1">IF($O14=0,"",INDEX(Produse!$F$5:$F$204,$O14))</f>
        <v/>
      </c>
      <c r="C14" s="11" t="str">
        <f ca="1">IF($O14=0,"",INDEX(Stocuri!$B$5:$B$204,$O14))</f>
        <v/>
      </c>
      <c r="D14" s="10" t="str">
        <f ca="1">IF($O14=0,"",INDEX(Stocuri!$C$5:$C$204,$O14))</f>
        <v/>
      </c>
      <c r="E14" s="11" t="str">
        <f ca="1">IF($O14=0,"",INDEX(Stocuri!$E$5:$E$204,$O14))</f>
        <v/>
      </c>
      <c r="F14" s="17" t="str">
        <f ca="1">IF($O14=0,"",INDEX(Stocuri!$F$5:$F$204,$O14))</f>
        <v/>
      </c>
      <c r="G14" s="17" t="str">
        <f ca="1">IF($O14=0,"",INDEX(Stocuri!$I$5:$I$204,$O14))</f>
        <v/>
      </c>
      <c r="H14" s="17" t="str">
        <f ca="1">IF($O14=0,"",INDEX(Stocuri!$J$5:$J$204,$O14))</f>
        <v/>
      </c>
      <c r="I14" s="26" t="str">
        <f ca="1">IF($O14=0,"",INDEX(Stocuri!$P$5:$P$204,$O14))</f>
        <v/>
      </c>
      <c r="J14" s="18" t="str">
        <f ca="1">IF($O14=0,"",INDEX(Produse!$G$5:$G$204,$O14))</f>
        <v/>
      </c>
      <c r="K14" s="18" t="str">
        <f t="shared" ca="1" si="0"/>
        <v/>
      </c>
      <c r="L14" s="11" t="str">
        <f ca="1">IF($O14=0,"",INDEX(Produse!$K$5:$K$204,$O14))</f>
        <v/>
      </c>
      <c r="M14" s="22" t="str">
        <f t="shared" ca="1" si="1"/>
        <v/>
      </c>
      <c r="O14" s="23">
        <f ca="1">IFERROR(_xlfn.AGGREGATE(15,6,(ROW(Stocuri!$P$5:$P$204)-4)/(ISNUMBER(Stocuri!$P$5:$P$204)*(Stocuri!$P$5:$P$204&gt;0)),10),0)</f>
        <v>0</v>
      </c>
    </row>
    <row r="15" spans="2:15" x14ac:dyDescent="0.2">
      <c r="B15" s="10" t="str">
        <f ca="1">IF($O15=0,"",INDEX(Produse!$F$5:$F$204,$O15))</f>
        <v/>
      </c>
      <c r="C15" s="11" t="str">
        <f ca="1">IF($O15=0,"",INDEX(Stocuri!$B$5:$B$204,$O15))</f>
        <v/>
      </c>
      <c r="D15" s="10" t="str">
        <f ca="1">IF($O15=0,"",INDEX(Stocuri!$C$5:$C$204,$O15))</f>
        <v/>
      </c>
      <c r="E15" s="11" t="str">
        <f ca="1">IF($O15=0,"",INDEX(Stocuri!$E$5:$E$204,$O15))</f>
        <v/>
      </c>
      <c r="F15" s="17" t="str">
        <f ca="1">IF($O15=0,"",INDEX(Stocuri!$F$5:$F$204,$O15))</f>
        <v/>
      </c>
      <c r="G15" s="17" t="str">
        <f ca="1">IF($O15=0,"",INDEX(Stocuri!$I$5:$I$204,$O15))</f>
        <v/>
      </c>
      <c r="H15" s="17" t="str">
        <f ca="1">IF($O15=0,"",INDEX(Stocuri!$J$5:$J$204,$O15))</f>
        <v/>
      </c>
      <c r="I15" s="26" t="str">
        <f ca="1">IF($O15=0,"",INDEX(Stocuri!$P$5:$P$204,$O15))</f>
        <v/>
      </c>
      <c r="J15" s="18" t="str">
        <f ca="1">IF($O15=0,"",INDEX(Produse!$G$5:$G$204,$O15))</f>
        <v/>
      </c>
      <c r="K15" s="18" t="str">
        <f t="shared" ca="1" si="0"/>
        <v/>
      </c>
      <c r="L15" s="11" t="str">
        <f ca="1">IF($O15=0,"",INDEX(Produse!$K$5:$K$204,$O15))</f>
        <v/>
      </c>
      <c r="M15" s="22" t="str">
        <f t="shared" ca="1" si="1"/>
        <v/>
      </c>
      <c r="O15" s="23">
        <f ca="1">IFERROR(_xlfn.AGGREGATE(15,6,(ROW(Stocuri!$P$5:$P$204)-4)/(ISNUMBER(Stocuri!$P$5:$P$204)*(Stocuri!$P$5:$P$204&gt;0)),11),0)</f>
        <v>0</v>
      </c>
    </row>
    <row r="16" spans="2:15" x14ac:dyDescent="0.2">
      <c r="B16" s="10" t="str">
        <f ca="1">IF($O16=0,"",INDEX(Produse!$F$5:$F$204,$O16))</f>
        <v/>
      </c>
      <c r="C16" s="11" t="str">
        <f ca="1">IF($O16=0,"",INDEX(Stocuri!$B$5:$B$204,$O16))</f>
        <v/>
      </c>
      <c r="D16" s="10" t="str">
        <f ca="1">IF($O16=0,"",INDEX(Stocuri!$C$5:$C$204,$O16))</f>
        <v/>
      </c>
      <c r="E16" s="11" t="str">
        <f ca="1">IF($O16=0,"",INDEX(Stocuri!$E$5:$E$204,$O16))</f>
        <v/>
      </c>
      <c r="F16" s="17" t="str">
        <f ca="1">IF($O16=0,"",INDEX(Stocuri!$F$5:$F$204,$O16))</f>
        <v/>
      </c>
      <c r="G16" s="17" t="str">
        <f ca="1">IF($O16=0,"",INDEX(Stocuri!$I$5:$I$204,$O16))</f>
        <v/>
      </c>
      <c r="H16" s="17" t="str">
        <f ca="1">IF($O16=0,"",INDEX(Stocuri!$J$5:$J$204,$O16))</f>
        <v/>
      </c>
      <c r="I16" s="26" t="str">
        <f ca="1">IF($O16=0,"",INDEX(Stocuri!$P$5:$P$204,$O16))</f>
        <v/>
      </c>
      <c r="J16" s="18" t="str">
        <f ca="1">IF($O16=0,"",INDEX(Produse!$G$5:$G$204,$O16))</f>
        <v/>
      </c>
      <c r="K16" s="18" t="str">
        <f t="shared" ca="1" si="0"/>
        <v/>
      </c>
      <c r="L16" s="11" t="str">
        <f ca="1">IF($O16=0,"",INDEX(Produse!$K$5:$K$204,$O16))</f>
        <v/>
      </c>
      <c r="M16" s="22" t="str">
        <f t="shared" ca="1" si="1"/>
        <v/>
      </c>
      <c r="O16" s="23">
        <f ca="1">IFERROR(_xlfn.AGGREGATE(15,6,(ROW(Stocuri!$P$5:$P$204)-4)/(ISNUMBER(Stocuri!$P$5:$P$204)*(Stocuri!$P$5:$P$204&gt;0)),12),0)</f>
        <v>0</v>
      </c>
    </row>
    <row r="17" spans="2:15" x14ac:dyDescent="0.2">
      <c r="B17" s="10" t="str">
        <f ca="1">IF($O17=0,"",INDEX(Produse!$F$5:$F$204,$O17))</f>
        <v/>
      </c>
      <c r="C17" s="11" t="str">
        <f ca="1">IF($O17=0,"",INDEX(Stocuri!$B$5:$B$204,$O17))</f>
        <v/>
      </c>
      <c r="D17" s="10" t="str">
        <f ca="1">IF($O17=0,"",INDEX(Stocuri!$C$5:$C$204,$O17))</f>
        <v/>
      </c>
      <c r="E17" s="11" t="str">
        <f ca="1">IF($O17=0,"",INDEX(Stocuri!$E$5:$E$204,$O17))</f>
        <v/>
      </c>
      <c r="F17" s="17" t="str">
        <f ca="1">IF($O17=0,"",INDEX(Stocuri!$F$5:$F$204,$O17))</f>
        <v/>
      </c>
      <c r="G17" s="17" t="str">
        <f ca="1">IF($O17=0,"",INDEX(Stocuri!$I$5:$I$204,$O17))</f>
        <v/>
      </c>
      <c r="H17" s="17" t="str">
        <f ca="1">IF($O17=0,"",INDEX(Stocuri!$J$5:$J$204,$O17))</f>
        <v/>
      </c>
      <c r="I17" s="26" t="str">
        <f ca="1">IF($O17=0,"",INDEX(Stocuri!$P$5:$P$204,$O17))</f>
        <v/>
      </c>
      <c r="J17" s="18" t="str">
        <f ca="1">IF($O17=0,"",INDEX(Produse!$G$5:$G$204,$O17))</f>
        <v/>
      </c>
      <c r="K17" s="18" t="str">
        <f t="shared" ca="1" si="0"/>
        <v/>
      </c>
      <c r="L17" s="11" t="str">
        <f ca="1">IF($O17=0,"",INDEX(Produse!$K$5:$K$204,$O17))</f>
        <v/>
      </c>
      <c r="M17" s="22" t="str">
        <f t="shared" ca="1" si="1"/>
        <v/>
      </c>
      <c r="O17" s="23">
        <f ca="1">IFERROR(_xlfn.AGGREGATE(15,6,(ROW(Stocuri!$P$5:$P$204)-4)/(ISNUMBER(Stocuri!$P$5:$P$204)*(Stocuri!$P$5:$P$204&gt;0)),13),0)</f>
        <v>0</v>
      </c>
    </row>
    <row r="18" spans="2:15" x14ac:dyDescent="0.2">
      <c r="B18" s="10" t="str">
        <f ca="1">IF($O18=0,"",INDEX(Produse!$F$5:$F$204,$O18))</f>
        <v/>
      </c>
      <c r="C18" s="11" t="str">
        <f ca="1">IF($O18=0,"",INDEX(Stocuri!$B$5:$B$204,$O18))</f>
        <v/>
      </c>
      <c r="D18" s="10" t="str">
        <f ca="1">IF($O18=0,"",INDEX(Stocuri!$C$5:$C$204,$O18))</f>
        <v/>
      </c>
      <c r="E18" s="11" t="str">
        <f ca="1">IF($O18=0,"",INDEX(Stocuri!$E$5:$E$204,$O18))</f>
        <v/>
      </c>
      <c r="F18" s="17" t="str">
        <f ca="1">IF($O18=0,"",INDEX(Stocuri!$F$5:$F$204,$O18))</f>
        <v/>
      </c>
      <c r="G18" s="17" t="str">
        <f ca="1">IF($O18=0,"",INDEX(Stocuri!$I$5:$I$204,$O18))</f>
        <v/>
      </c>
      <c r="H18" s="17" t="str">
        <f ca="1">IF($O18=0,"",INDEX(Stocuri!$J$5:$J$204,$O18))</f>
        <v/>
      </c>
      <c r="I18" s="26" t="str">
        <f ca="1">IF($O18=0,"",INDEX(Stocuri!$P$5:$P$204,$O18))</f>
        <v/>
      </c>
      <c r="J18" s="18" t="str">
        <f ca="1">IF($O18=0,"",INDEX(Produse!$G$5:$G$204,$O18))</f>
        <v/>
      </c>
      <c r="K18" s="18" t="str">
        <f t="shared" ca="1" si="0"/>
        <v/>
      </c>
      <c r="L18" s="11" t="str">
        <f ca="1">IF($O18=0,"",INDEX(Produse!$K$5:$K$204,$O18))</f>
        <v/>
      </c>
      <c r="M18" s="22" t="str">
        <f t="shared" ca="1" si="1"/>
        <v/>
      </c>
      <c r="O18" s="23">
        <f ca="1">IFERROR(_xlfn.AGGREGATE(15,6,(ROW(Stocuri!$P$5:$P$204)-4)/(ISNUMBER(Stocuri!$P$5:$P$204)*(Stocuri!$P$5:$P$204&gt;0)),14),0)</f>
        <v>0</v>
      </c>
    </row>
    <row r="19" spans="2:15" x14ac:dyDescent="0.2">
      <c r="B19" s="10" t="str">
        <f ca="1">IF($O19=0,"",INDEX(Produse!$F$5:$F$204,$O19))</f>
        <v/>
      </c>
      <c r="C19" s="11" t="str">
        <f ca="1">IF($O19=0,"",INDEX(Stocuri!$B$5:$B$204,$O19))</f>
        <v/>
      </c>
      <c r="D19" s="10" t="str">
        <f ca="1">IF($O19=0,"",INDEX(Stocuri!$C$5:$C$204,$O19))</f>
        <v/>
      </c>
      <c r="E19" s="11" t="str">
        <f ca="1">IF($O19=0,"",INDEX(Stocuri!$E$5:$E$204,$O19))</f>
        <v/>
      </c>
      <c r="F19" s="17" t="str">
        <f ca="1">IF($O19=0,"",INDEX(Stocuri!$F$5:$F$204,$O19))</f>
        <v/>
      </c>
      <c r="G19" s="17" t="str">
        <f ca="1">IF($O19=0,"",INDEX(Stocuri!$I$5:$I$204,$O19))</f>
        <v/>
      </c>
      <c r="H19" s="17" t="str">
        <f ca="1">IF($O19=0,"",INDEX(Stocuri!$J$5:$J$204,$O19))</f>
        <v/>
      </c>
      <c r="I19" s="26" t="str">
        <f ca="1">IF($O19=0,"",INDEX(Stocuri!$P$5:$P$204,$O19))</f>
        <v/>
      </c>
      <c r="J19" s="18" t="str">
        <f ca="1">IF($O19=0,"",INDEX(Produse!$G$5:$G$204,$O19))</f>
        <v/>
      </c>
      <c r="K19" s="18" t="str">
        <f t="shared" ca="1" si="0"/>
        <v/>
      </c>
      <c r="L19" s="11" t="str">
        <f ca="1">IF($O19=0,"",INDEX(Produse!$K$5:$K$204,$O19))</f>
        <v/>
      </c>
      <c r="M19" s="22" t="str">
        <f t="shared" ca="1" si="1"/>
        <v/>
      </c>
      <c r="O19" s="23">
        <f ca="1">IFERROR(_xlfn.AGGREGATE(15,6,(ROW(Stocuri!$P$5:$P$204)-4)/(ISNUMBER(Stocuri!$P$5:$P$204)*(Stocuri!$P$5:$P$204&gt;0)),15),0)</f>
        <v>0</v>
      </c>
    </row>
    <row r="20" spans="2:15" x14ac:dyDescent="0.2">
      <c r="B20" s="10" t="str">
        <f ca="1">IF($O20=0,"",INDEX(Produse!$F$5:$F$204,$O20))</f>
        <v/>
      </c>
      <c r="C20" s="11" t="str">
        <f ca="1">IF($O20=0,"",INDEX(Stocuri!$B$5:$B$204,$O20))</f>
        <v/>
      </c>
      <c r="D20" s="10" t="str">
        <f ca="1">IF($O20=0,"",INDEX(Stocuri!$C$5:$C$204,$O20))</f>
        <v/>
      </c>
      <c r="E20" s="11" t="str">
        <f ca="1">IF($O20=0,"",INDEX(Stocuri!$E$5:$E$204,$O20))</f>
        <v/>
      </c>
      <c r="F20" s="17" t="str">
        <f ca="1">IF($O20=0,"",INDEX(Stocuri!$F$5:$F$204,$O20))</f>
        <v/>
      </c>
      <c r="G20" s="17" t="str">
        <f ca="1">IF($O20=0,"",INDEX(Stocuri!$I$5:$I$204,$O20))</f>
        <v/>
      </c>
      <c r="H20" s="17" t="str">
        <f ca="1">IF($O20=0,"",INDEX(Stocuri!$J$5:$J$204,$O20))</f>
        <v/>
      </c>
      <c r="I20" s="26" t="str">
        <f ca="1">IF($O20=0,"",INDEX(Stocuri!$P$5:$P$204,$O20))</f>
        <v/>
      </c>
      <c r="J20" s="18" t="str">
        <f ca="1">IF($O20=0,"",INDEX(Produse!$G$5:$G$204,$O20))</f>
        <v/>
      </c>
      <c r="K20" s="18" t="str">
        <f t="shared" ca="1" si="0"/>
        <v/>
      </c>
      <c r="L20" s="11" t="str">
        <f ca="1">IF($O20=0,"",INDEX(Produse!$K$5:$K$204,$O20))</f>
        <v/>
      </c>
      <c r="M20" s="22" t="str">
        <f t="shared" ca="1" si="1"/>
        <v/>
      </c>
      <c r="O20" s="23">
        <f ca="1">IFERROR(_xlfn.AGGREGATE(15,6,(ROW(Stocuri!$P$5:$P$204)-4)/(ISNUMBER(Stocuri!$P$5:$P$204)*(Stocuri!$P$5:$P$204&gt;0)),16),0)</f>
        <v>0</v>
      </c>
    </row>
    <row r="21" spans="2:15" x14ac:dyDescent="0.2">
      <c r="B21" s="10" t="str">
        <f ca="1">IF($O21=0,"",INDEX(Produse!$F$5:$F$204,$O21))</f>
        <v/>
      </c>
      <c r="C21" s="11" t="str">
        <f ca="1">IF($O21=0,"",INDEX(Stocuri!$B$5:$B$204,$O21))</f>
        <v/>
      </c>
      <c r="D21" s="10" t="str">
        <f ca="1">IF($O21=0,"",INDEX(Stocuri!$C$5:$C$204,$O21))</f>
        <v/>
      </c>
      <c r="E21" s="11" t="str">
        <f ca="1">IF($O21=0,"",INDEX(Stocuri!$E$5:$E$204,$O21))</f>
        <v/>
      </c>
      <c r="F21" s="17" t="str">
        <f ca="1">IF($O21=0,"",INDEX(Stocuri!$F$5:$F$204,$O21))</f>
        <v/>
      </c>
      <c r="G21" s="17" t="str">
        <f ca="1">IF($O21=0,"",INDEX(Stocuri!$I$5:$I$204,$O21))</f>
        <v/>
      </c>
      <c r="H21" s="17" t="str">
        <f ca="1">IF($O21=0,"",INDEX(Stocuri!$J$5:$J$204,$O21))</f>
        <v/>
      </c>
      <c r="I21" s="26" t="str">
        <f ca="1">IF($O21=0,"",INDEX(Stocuri!$P$5:$P$204,$O21))</f>
        <v/>
      </c>
      <c r="J21" s="18" t="str">
        <f ca="1">IF($O21=0,"",INDEX(Produse!$G$5:$G$204,$O21))</f>
        <v/>
      </c>
      <c r="K21" s="18" t="str">
        <f t="shared" ca="1" si="0"/>
        <v/>
      </c>
      <c r="L21" s="11" t="str">
        <f ca="1">IF($O21=0,"",INDEX(Produse!$K$5:$K$204,$O21))</f>
        <v/>
      </c>
      <c r="M21" s="22" t="str">
        <f t="shared" ca="1" si="1"/>
        <v/>
      </c>
      <c r="O21" s="23">
        <f ca="1">IFERROR(_xlfn.AGGREGATE(15,6,(ROW(Stocuri!$P$5:$P$204)-4)/(ISNUMBER(Stocuri!$P$5:$P$204)*(Stocuri!$P$5:$P$204&gt;0)),17),0)</f>
        <v>0</v>
      </c>
    </row>
    <row r="22" spans="2:15" x14ac:dyDescent="0.2">
      <c r="B22" s="10" t="str">
        <f ca="1">IF($O22=0,"",INDEX(Produse!$F$5:$F$204,$O22))</f>
        <v/>
      </c>
      <c r="C22" s="11" t="str">
        <f ca="1">IF($O22=0,"",INDEX(Stocuri!$B$5:$B$204,$O22))</f>
        <v/>
      </c>
      <c r="D22" s="10" t="str">
        <f ca="1">IF($O22=0,"",INDEX(Stocuri!$C$5:$C$204,$O22))</f>
        <v/>
      </c>
      <c r="E22" s="11" t="str">
        <f ca="1">IF($O22=0,"",INDEX(Stocuri!$E$5:$E$204,$O22))</f>
        <v/>
      </c>
      <c r="F22" s="17" t="str">
        <f ca="1">IF($O22=0,"",INDEX(Stocuri!$F$5:$F$204,$O22))</f>
        <v/>
      </c>
      <c r="G22" s="17" t="str">
        <f ca="1">IF($O22=0,"",INDEX(Stocuri!$I$5:$I$204,$O22))</f>
        <v/>
      </c>
      <c r="H22" s="17" t="str">
        <f ca="1">IF($O22=0,"",INDEX(Stocuri!$J$5:$J$204,$O22))</f>
        <v/>
      </c>
      <c r="I22" s="26" t="str">
        <f ca="1">IF($O22=0,"",INDEX(Stocuri!$P$5:$P$204,$O22))</f>
        <v/>
      </c>
      <c r="J22" s="18" t="str">
        <f ca="1">IF($O22=0,"",INDEX(Produse!$G$5:$G$204,$O22))</f>
        <v/>
      </c>
      <c r="K22" s="18" t="str">
        <f t="shared" ca="1" si="0"/>
        <v/>
      </c>
      <c r="L22" s="11" t="str">
        <f ca="1">IF($O22=0,"",INDEX(Produse!$K$5:$K$204,$O22))</f>
        <v/>
      </c>
      <c r="M22" s="22" t="str">
        <f t="shared" ca="1" si="1"/>
        <v/>
      </c>
      <c r="O22" s="23">
        <f ca="1">IFERROR(_xlfn.AGGREGATE(15,6,(ROW(Stocuri!$P$5:$P$204)-4)/(ISNUMBER(Stocuri!$P$5:$P$204)*(Stocuri!$P$5:$P$204&gt;0)),18),0)</f>
        <v>0</v>
      </c>
    </row>
    <row r="23" spans="2:15" x14ac:dyDescent="0.2">
      <c r="B23" s="10" t="str">
        <f ca="1">IF($O23=0,"",INDEX(Produse!$F$5:$F$204,$O23))</f>
        <v/>
      </c>
      <c r="C23" s="11" t="str">
        <f ca="1">IF($O23=0,"",INDEX(Stocuri!$B$5:$B$204,$O23))</f>
        <v/>
      </c>
      <c r="D23" s="10" t="str">
        <f ca="1">IF($O23=0,"",INDEX(Stocuri!$C$5:$C$204,$O23))</f>
        <v/>
      </c>
      <c r="E23" s="11" t="str">
        <f ca="1">IF($O23=0,"",INDEX(Stocuri!$E$5:$E$204,$O23))</f>
        <v/>
      </c>
      <c r="F23" s="17" t="str">
        <f ca="1">IF($O23=0,"",INDEX(Stocuri!$F$5:$F$204,$O23))</f>
        <v/>
      </c>
      <c r="G23" s="17" t="str">
        <f ca="1">IF($O23=0,"",INDEX(Stocuri!$I$5:$I$204,$O23))</f>
        <v/>
      </c>
      <c r="H23" s="17" t="str">
        <f ca="1">IF($O23=0,"",INDEX(Stocuri!$J$5:$J$204,$O23))</f>
        <v/>
      </c>
      <c r="I23" s="26" t="str">
        <f ca="1">IF($O23=0,"",INDEX(Stocuri!$P$5:$P$204,$O23))</f>
        <v/>
      </c>
      <c r="J23" s="18" t="str">
        <f ca="1">IF($O23=0,"",INDEX(Produse!$G$5:$G$204,$O23))</f>
        <v/>
      </c>
      <c r="K23" s="18" t="str">
        <f t="shared" ca="1" si="0"/>
        <v/>
      </c>
      <c r="L23" s="11" t="str">
        <f ca="1">IF($O23=0,"",INDEX(Produse!$K$5:$K$204,$O23))</f>
        <v/>
      </c>
      <c r="M23" s="22" t="str">
        <f t="shared" ca="1" si="1"/>
        <v/>
      </c>
      <c r="O23" s="23">
        <f ca="1">IFERROR(_xlfn.AGGREGATE(15,6,(ROW(Stocuri!$P$5:$P$204)-4)/(ISNUMBER(Stocuri!$P$5:$P$204)*(Stocuri!$P$5:$P$204&gt;0)),19),0)</f>
        <v>0</v>
      </c>
    </row>
    <row r="24" spans="2:15" x14ac:dyDescent="0.2">
      <c r="B24" s="10" t="str">
        <f ca="1">IF($O24=0,"",INDEX(Produse!$F$5:$F$204,$O24))</f>
        <v/>
      </c>
      <c r="C24" s="11" t="str">
        <f ca="1">IF($O24=0,"",INDEX(Stocuri!$B$5:$B$204,$O24))</f>
        <v/>
      </c>
      <c r="D24" s="10" t="str">
        <f ca="1">IF($O24=0,"",INDEX(Stocuri!$C$5:$C$204,$O24))</f>
        <v/>
      </c>
      <c r="E24" s="11" t="str">
        <f ca="1">IF($O24=0,"",INDEX(Stocuri!$E$5:$E$204,$O24))</f>
        <v/>
      </c>
      <c r="F24" s="17" t="str">
        <f ca="1">IF($O24=0,"",INDEX(Stocuri!$F$5:$F$204,$O24))</f>
        <v/>
      </c>
      <c r="G24" s="17" t="str">
        <f ca="1">IF($O24=0,"",INDEX(Stocuri!$I$5:$I$204,$O24))</f>
        <v/>
      </c>
      <c r="H24" s="17" t="str">
        <f ca="1">IF($O24=0,"",INDEX(Stocuri!$J$5:$J$204,$O24))</f>
        <v/>
      </c>
      <c r="I24" s="26" t="str">
        <f ca="1">IF($O24=0,"",INDEX(Stocuri!$P$5:$P$204,$O24))</f>
        <v/>
      </c>
      <c r="J24" s="18" t="str">
        <f ca="1">IF($O24=0,"",INDEX(Produse!$G$5:$G$204,$O24))</f>
        <v/>
      </c>
      <c r="K24" s="18" t="str">
        <f t="shared" ca="1" si="0"/>
        <v/>
      </c>
      <c r="L24" s="11" t="str">
        <f ca="1">IF($O24=0,"",INDEX(Produse!$K$5:$K$204,$O24))</f>
        <v/>
      </c>
      <c r="M24" s="22" t="str">
        <f t="shared" ca="1" si="1"/>
        <v/>
      </c>
      <c r="O24" s="23">
        <f ca="1">IFERROR(_xlfn.AGGREGATE(15,6,(ROW(Stocuri!$P$5:$P$204)-4)/(ISNUMBER(Stocuri!$P$5:$P$204)*(Stocuri!$P$5:$P$204&gt;0)),20),0)</f>
        <v>0</v>
      </c>
    </row>
    <row r="25" spans="2:15" x14ac:dyDescent="0.2">
      <c r="B25" s="10" t="str">
        <f ca="1">IF($O25=0,"",INDEX(Produse!$F$5:$F$204,$O25))</f>
        <v/>
      </c>
      <c r="C25" s="11" t="str">
        <f ca="1">IF($O25=0,"",INDEX(Stocuri!$B$5:$B$204,$O25))</f>
        <v/>
      </c>
      <c r="D25" s="10" t="str">
        <f ca="1">IF($O25=0,"",INDEX(Stocuri!$C$5:$C$204,$O25))</f>
        <v/>
      </c>
      <c r="E25" s="11" t="str">
        <f ca="1">IF($O25=0,"",INDEX(Stocuri!$E$5:$E$204,$O25))</f>
        <v/>
      </c>
      <c r="F25" s="17" t="str">
        <f ca="1">IF($O25=0,"",INDEX(Stocuri!$F$5:$F$204,$O25))</f>
        <v/>
      </c>
      <c r="G25" s="17" t="str">
        <f ca="1">IF($O25=0,"",INDEX(Stocuri!$I$5:$I$204,$O25))</f>
        <v/>
      </c>
      <c r="H25" s="17" t="str">
        <f ca="1">IF($O25=0,"",INDEX(Stocuri!$J$5:$J$204,$O25))</f>
        <v/>
      </c>
      <c r="I25" s="26" t="str">
        <f ca="1">IF($O25=0,"",INDEX(Stocuri!$P$5:$P$204,$O25))</f>
        <v/>
      </c>
      <c r="J25" s="18" t="str">
        <f ca="1">IF($O25=0,"",INDEX(Produse!$G$5:$G$204,$O25))</f>
        <v/>
      </c>
      <c r="K25" s="18" t="str">
        <f t="shared" ca="1" si="0"/>
        <v/>
      </c>
      <c r="L25" s="11" t="str">
        <f ca="1">IF($O25=0,"",INDEX(Produse!$K$5:$K$204,$O25))</f>
        <v/>
      </c>
      <c r="M25" s="22" t="str">
        <f t="shared" ca="1" si="1"/>
        <v/>
      </c>
      <c r="O25" s="23">
        <f ca="1">IFERROR(_xlfn.AGGREGATE(15,6,(ROW(Stocuri!$P$5:$P$204)-4)/(ISNUMBER(Stocuri!$P$5:$P$204)*(Stocuri!$P$5:$P$204&gt;0)),21),0)</f>
        <v>0</v>
      </c>
    </row>
    <row r="26" spans="2:15" x14ac:dyDescent="0.2">
      <c r="B26" s="10" t="str">
        <f ca="1">IF($O26=0,"",INDEX(Produse!$F$5:$F$204,$O26))</f>
        <v/>
      </c>
      <c r="C26" s="11" t="str">
        <f ca="1">IF($O26=0,"",INDEX(Stocuri!$B$5:$B$204,$O26))</f>
        <v/>
      </c>
      <c r="D26" s="10" t="str">
        <f ca="1">IF($O26=0,"",INDEX(Stocuri!$C$5:$C$204,$O26))</f>
        <v/>
      </c>
      <c r="E26" s="11" t="str">
        <f ca="1">IF($O26=0,"",INDEX(Stocuri!$E$5:$E$204,$O26))</f>
        <v/>
      </c>
      <c r="F26" s="17" t="str">
        <f ca="1">IF($O26=0,"",INDEX(Stocuri!$F$5:$F$204,$O26))</f>
        <v/>
      </c>
      <c r="G26" s="17" t="str">
        <f ca="1">IF($O26=0,"",INDEX(Stocuri!$I$5:$I$204,$O26))</f>
        <v/>
      </c>
      <c r="H26" s="17" t="str">
        <f ca="1">IF($O26=0,"",INDEX(Stocuri!$J$5:$J$204,$O26))</f>
        <v/>
      </c>
      <c r="I26" s="26" t="str">
        <f ca="1">IF($O26=0,"",INDEX(Stocuri!$P$5:$P$204,$O26))</f>
        <v/>
      </c>
      <c r="J26" s="18" t="str">
        <f ca="1">IF($O26=0,"",INDEX(Produse!$G$5:$G$204,$O26))</f>
        <v/>
      </c>
      <c r="K26" s="18" t="str">
        <f t="shared" ca="1" si="0"/>
        <v/>
      </c>
      <c r="L26" s="11" t="str">
        <f ca="1">IF($O26=0,"",INDEX(Produse!$K$5:$K$204,$O26))</f>
        <v/>
      </c>
      <c r="M26" s="22" t="str">
        <f t="shared" ca="1" si="1"/>
        <v/>
      </c>
      <c r="O26" s="23">
        <f ca="1">IFERROR(_xlfn.AGGREGATE(15,6,(ROW(Stocuri!$P$5:$P$204)-4)/(ISNUMBER(Stocuri!$P$5:$P$204)*(Stocuri!$P$5:$P$204&gt;0)),22),0)</f>
        <v>0</v>
      </c>
    </row>
    <row r="27" spans="2:15" x14ac:dyDescent="0.2">
      <c r="B27" s="10" t="str">
        <f ca="1">IF($O27=0,"",INDEX(Produse!$F$5:$F$204,$O27))</f>
        <v/>
      </c>
      <c r="C27" s="11" t="str">
        <f ca="1">IF($O27=0,"",INDEX(Stocuri!$B$5:$B$204,$O27))</f>
        <v/>
      </c>
      <c r="D27" s="10" t="str">
        <f ca="1">IF($O27=0,"",INDEX(Stocuri!$C$5:$C$204,$O27))</f>
        <v/>
      </c>
      <c r="E27" s="11" t="str">
        <f ca="1">IF($O27=0,"",INDEX(Stocuri!$E$5:$E$204,$O27))</f>
        <v/>
      </c>
      <c r="F27" s="17" t="str">
        <f ca="1">IF($O27=0,"",INDEX(Stocuri!$F$5:$F$204,$O27))</f>
        <v/>
      </c>
      <c r="G27" s="17" t="str">
        <f ca="1">IF($O27=0,"",INDEX(Stocuri!$I$5:$I$204,$O27))</f>
        <v/>
      </c>
      <c r="H27" s="17" t="str">
        <f ca="1">IF($O27=0,"",INDEX(Stocuri!$J$5:$J$204,$O27))</f>
        <v/>
      </c>
      <c r="I27" s="26" t="str">
        <f ca="1">IF($O27=0,"",INDEX(Stocuri!$P$5:$P$204,$O27))</f>
        <v/>
      </c>
      <c r="J27" s="18" t="str">
        <f ca="1">IF($O27=0,"",INDEX(Produse!$G$5:$G$204,$O27))</f>
        <v/>
      </c>
      <c r="K27" s="18" t="str">
        <f t="shared" ca="1" si="0"/>
        <v/>
      </c>
      <c r="L27" s="11" t="str">
        <f ca="1">IF($O27=0,"",INDEX(Produse!$K$5:$K$204,$O27))</f>
        <v/>
      </c>
      <c r="M27" s="22" t="str">
        <f t="shared" ca="1" si="1"/>
        <v/>
      </c>
      <c r="O27" s="23">
        <f ca="1">IFERROR(_xlfn.AGGREGATE(15,6,(ROW(Stocuri!$P$5:$P$204)-4)/(ISNUMBER(Stocuri!$P$5:$P$204)*(Stocuri!$P$5:$P$204&gt;0)),23),0)</f>
        <v>0</v>
      </c>
    </row>
    <row r="28" spans="2:15" x14ac:dyDescent="0.2">
      <c r="B28" s="10" t="str">
        <f ca="1">IF($O28=0,"",INDEX(Produse!$F$5:$F$204,$O28))</f>
        <v/>
      </c>
      <c r="C28" s="11" t="str">
        <f ca="1">IF($O28=0,"",INDEX(Stocuri!$B$5:$B$204,$O28))</f>
        <v/>
      </c>
      <c r="D28" s="10" t="str">
        <f ca="1">IF($O28=0,"",INDEX(Stocuri!$C$5:$C$204,$O28))</f>
        <v/>
      </c>
      <c r="E28" s="11" t="str">
        <f ca="1">IF($O28=0,"",INDEX(Stocuri!$E$5:$E$204,$O28))</f>
        <v/>
      </c>
      <c r="F28" s="17" t="str">
        <f ca="1">IF($O28=0,"",INDEX(Stocuri!$F$5:$F$204,$O28))</f>
        <v/>
      </c>
      <c r="G28" s="17" t="str">
        <f ca="1">IF($O28=0,"",INDEX(Stocuri!$I$5:$I$204,$O28))</f>
        <v/>
      </c>
      <c r="H28" s="17" t="str">
        <f ca="1">IF($O28=0,"",INDEX(Stocuri!$J$5:$J$204,$O28))</f>
        <v/>
      </c>
      <c r="I28" s="26" t="str">
        <f ca="1">IF($O28=0,"",INDEX(Stocuri!$P$5:$P$204,$O28))</f>
        <v/>
      </c>
      <c r="J28" s="18" t="str">
        <f ca="1">IF($O28=0,"",INDEX(Produse!$G$5:$G$204,$O28))</f>
        <v/>
      </c>
      <c r="K28" s="18" t="str">
        <f t="shared" ca="1" si="0"/>
        <v/>
      </c>
      <c r="L28" s="11" t="str">
        <f ca="1">IF($O28=0,"",INDEX(Produse!$K$5:$K$204,$O28))</f>
        <v/>
      </c>
      <c r="M28" s="22" t="str">
        <f t="shared" ca="1" si="1"/>
        <v/>
      </c>
      <c r="O28" s="23">
        <f ca="1">IFERROR(_xlfn.AGGREGATE(15,6,(ROW(Stocuri!$P$5:$P$204)-4)/(ISNUMBER(Stocuri!$P$5:$P$204)*(Stocuri!$P$5:$P$204&gt;0)),24),0)</f>
        <v>0</v>
      </c>
    </row>
    <row r="29" spans="2:15" x14ac:dyDescent="0.2">
      <c r="B29" s="10" t="str">
        <f ca="1">IF($O29=0,"",INDEX(Produse!$F$5:$F$204,$O29))</f>
        <v/>
      </c>
      <c r="C29" s="11" t="str">
        <f ca="1">IF($O29=0,"",INDEX(Stocuri!$B$5:$B$204,$O29))</f>
        <v/>
      </c>
      <c r="D29" s="10" t="str">
        <f ca="1">IF($O29=0,"",INDEX(Stocuri!$C$5:$C$204,$O29))</f>
        <v/>
      </c>
      <c r="E29" s="11" t="str">
        <f ca="1">IF($O29=0,"",INDEX(Stocuri!$E$5:$E$204,$O29))</f>
        <v/>
      </c>
      <c r="F29" s="17" t="str">
        <f ca="1">IF($O29=0,"",INDEX(Stocuri!$F$5:$F$204,$O29))</f>
        <v/>
      </c>
      <c r="G29" s="17" t="str">
        <f ca="1">IF($O29=0,"",INDEX(Stocuri!$I$5:$I$204,$O29))</f>
        <v/>
      </c>
      <c r="H29" s="17" t="str">
        <f ca="1">IF($O29=0,"",INDEX(Stocuri!$J$5:$J$204,$O29))</f>
        <v/>
      </c>
      <c r="I29" s="26" t="str">
        <f ca="1">IF($O29=0,"",INDEX(Stocuri!$P$5:$P$204,$O29))</f>
        <v/>
      </c>
      <c r="J29" s="18" t="str">
        <f ca="1">IF($O29=0,"",INDEX(Produse!$G$5:$G$204,$O29))</f>
        <v/>
      </c>
      <c r="K29" s="18" t="str">
        <f t="shared" ca="1" si="0"/>
        <v/>
      </c>
      <c r="L29" s="11" t="str">
        <f ca="1">IF($O29=0,"",INDEX(Produse!$K$5:$K$204,$O29))</f>
        <v/>
      </c>
      <c r="M29" s="22" t="str">
        <f t="shared" ca="1" si="1"/>
        <v/>
      </c>
      <c r="O29" s="23">
        <f ca="1">IFERROR(_xlfn.AGGREGATE(15,6,(ROW(Stocuri!$P$5:$P$204)-4)/(ISNUMBER(Stocuri!$P$5:$P$204)*(Stocuri!$P$5:$P$204&gt;0)),25),0)</f>
        <v>0</v>
      </c>
    </row>
    <row r="30" spans="2:15" x14ac:dyDescent="0.2">
      <c r="B30" s="10" t="str">
        <f ca="1">IF($O30=0,"",INDEX(Produse!$F$5:$F$204,$O30))</f>
        <v/>
      </c>
      <c r="C30" s="11" t="str">
        <f ca="1">IF($O30=0,"",INDEX(Stocuri!$B$5:$B$204,$O30))</f>
        <v/>
      </c>
      <c r="D30" s="10" t="str">
        <f ca="1">IF($O30=0,"",INDEX(Stocuri!$C$5:$C$204,$O30))</f>
        <v/>
      </c>
      <c r="E30" s="11" t="str">
        <f ca="1">IF($O30=0,"",INDEX(Stocuri!$E$5:$E$204,$O30))</f>
        <v/>
      </c>
      <c r="F30" s="17" t="str">
        <f ca="1">IF($O30=0,"",INDEX(Stocuri!$F$5:$F$204,$O30))</f>
        <v/>
      </c>
      <c r="G30" s="17" t="str">
        <f ca="1">IF($O30=0,"",INDEX(Stocuri!$I$5:$I$204,$O30))</f>
        <v/>
      </c>
      <c r="H30" s="17" t="str">
        <f ca="1">IF($O30=0,"",INDEX(Stocuri!$J$5:$J$204,$O30))</f>
        <v/>
      </c>
      <c r="I30" s="26" t="str">
        <f ca="1">IF($O30=0,"",INDEX(Stocuri!$P$5:$P$204,$O30))</f>
        <v/>
      </c>
      <c r="J30" s="18" t="str">
        <f ca="1">IF($O30=0,"",INDEX(Produse!$G$5:$G$204,$O30))</f>
        <v/>
      </c>
      <c r="K30" s="18" t="str">
        <f t="shared" ca="1" si="0"/>
        <v/>
      </c>
      <c r="L30" s="11" t="str">
        <f ca="1">IF($O30=0,"",INDEX(Produse!$K$5:$K$204,$O30))</f>
        <v/>
      </c>
      <c r="M30" s="22" t="str">
        <f t="shared" ca="1" si="1"/>
        <v/>
      </c>
      <c r="O30" s="23">
        <f ca="1">IFERROR(_xlfn.AGGREGATE(15,6,(ROW(Stocuri!$P$5:$P$204)-4)/(ISNUMBER(Stocuri!$P$5:$P$204)*(Stocuri!$P$5:$P$204&gt;0)),26),0)</f>
        <v>0</v>
      </c>
    </row>
    <row r="31" spans="2:15" x14ac:dyDescent="0.2">
      <c r="B31" s="10" t="str">
        <f ca="1">IF($O31=0,"",INDEX(Produse!$F$5:$F$204,$O31))</f>
        <v/>
      </c>
      <c r="C31" s="11" t="str">
        <f ca="1">IF($O31=0,"",INDEX(Stocuri!$B$5:$B$204,$O31))</f>
        <v/>
      </c>
      <c r="D31" s="10" t="str">
        <f ca="1">IF($O31=0,"",INDEX(Stocuri!$C$5:$C$204,$O31))</f>
        <v/>
      </c>
      <c r="E31" s="11" t="str">
        <f ca="1">IF($O31=0,"",INDEX(Stocuri!$E$5:$E$204,$O31))</f>
        <v/>
      </c>
      <c r="F31" s="17" t="str">
        <f ca="1">IF($O31=0,"",INDEX(Stocuri!$F$5:$F$204,$O31))</f>
        <v/>
      </c>
      <c r="G31" s="17" t="str">
        <f ca="1">IF($O31=0,"",INDEX(Stocuri!$I$5:$I$204,$O31))</f>
        <v/>
      </c>
      <c r="H31" s="17" t="str">
        <f ca="1">IF($O31=0,"",INDEX(Stocuri!$J$5:$J$204,$O31))</f>
        <v/>
      </c>
      <c r="I31" s="26" t="str">
        <f ca="1">IF($O31=0,"",INDEX(Stocuri!$P$5:$P$204,$O31))</f>
        <v/>
      </c>
      <c r="J31" s="18" t="str">
        <f ca="1">IF($O31=0,"",INDEX(Produse!$G$5:$G$204,$O31))</f>
        <v/>
      </c>
      <c r="K31" s="18" t="str">
        <f t="shared" ca="1" si="0"/>
        <v/>
      </c>
      <c r="L31" s="11" t="str">
        <f ca="1">IF($O31=0,"",INDEX(Produse!$K$5:$K$204,$O31))</f>
        <v/>
      </c>
      <c r="M31" s="22" t="str">
        <f t="shared" ca="1" si="1"/>
        <v/>
      </c>
      <c r="O31" s="23">
        <f ca="1">IFERROR(_xlfn.AGGREGATE(15,6,(ROW(Stocuri!$P$5:$P$204)-4)/(ISNUMBER(Stocuri!$P$5:$P$204)*(Stocuri!$P$5:$P$204&gt;0)),27),0)</f>
        <v>0</v>
      </c>
    </row>
    <row r="32" spans="2:15" x14ac:dyDescent="0.2">
      <c r="B32" s="10" t="str">
        <f ca="1">IF($O32=0,"",INDEX(Produse!$F$5:$F$204,$O32))</f>
        <v/>
      </c>
      <c r="C32" s="11" t="str">
        <f ca="1">IF($O32=0,"",INDEX(Stocuri!$B$5:$B$204,$O32))</f>
        <v/>
      </c>
      <c r="D32" s="10" t="str">
        <f ca="1">IF($O32=0,"",INDEX(Stocuri!$C$5:$C$204,$O32))</f>
        <v/>
      </c>
      <c r="E32" s="11" t="str">
        <f ca="1">IF($O32=0,"",INDEX(Stocuri!$E$5:$E$204,$O32))</f>
        <v/>
      </c>
      <c r="F32" s="17" t="str">
        <f ca="1">IF($O32=0,"",INDEX(Stocuri!$F$5:$F$204,$O32))</f>
        <v/>
      </c>
      <c r="G32" s="17" t="str">
        <f ca="1">IF($O32=0,"",INDEX(Stocuri!$I$5:$I$204,$O32))</f>
        <v/>
      </c>
      <c r="H32" s="17" t="str">
        <f ca="1">IF($O32=0,"",INDEX(Stocuri!$J$5:$J$204,$O32))</f>
        <v/>
      </c>
      <c r="I32" s="26" t="str">
        <f ca="1">IF($O32=0,"",INDEX(Stocuri!$P$5:$P$204,$O32))</f>
        <v/>
      </c>
      <c r="J32" s="18" t="str">
        <f ca="1">IF($O32=0,"",INDEX(Produse!$G$5:$G$204,$O32))</f>
        <v/>
      </c>
      <c r="K32" s="18" t="str">
        <f t="shared" ca="1" si="0"/>
        <v/>
      </c>
      <c r="L32" s="11" t="str">
        <f ca="1">IF($O32=0,"",INDEX(Produse!$K$5:$K$204,$O32))</f>
        <v/>
      </c>
      <c r="M32" s="22" t="str">
        <f t="shared" ca="1" si="1"/>
        <v/>
      </c>
      <c r="O32" s="23">
        <f ca="1">IFERROR(_xlfn.AGGREGATE(15,6,(ROW(Stocuri!$P$5:$P$204)-4)/(ISNUMBER(Stocuri!$P$5:$P$204)*(Stocuri!$P$5:$P$204&gt;0)),28),0)</f>
        <v>0</v>
      </c>
    </row>
    <row r="33" spans="2:15" x14ac:dyDescent="0.2">
      <c r="B33" s="10" t="str">
        <f ca="1">IF($O33=0,"",INDEX(Produse!$F$5:$F$204,$O33))</f>
        <v/>
      </c>
      <c r="C33" s="11" t="str">
        <f ca="1">IF($O33=0,"",INDEX(Stocuri!$B$5:$B$204,$O33))</f>
        <v/>
      </c>
      <c r="D33" s="10" t="str">
        <f ca="1">IF($O33=0,"",INDEX(Stocuri!$C$5:$C$204,$O33))</f>
        <v/>
      </c>
      <c r="E33" s="11" t="str">
        <f ca="1">IF($O33=0,"",INDEX(Stocuri!$E$5:$E$204,$O33))</f>
        <v/>
      </c>
      <c r="F33" s="17" t="str">
        <f ca="1">IF($O33=0,"",INDEX(Stocuri!$F$5:$F$204,$O33))</f>
        <v/>
      </c>
      <c r="G33" s="17" t="str">
        <f ca="1">IF($O33=0,"",INDEX(Stocuri!$I$5:$I$204,$O33))</f>
        <v/>
      </c>
      <c r="H33" s="17" t="str">
        <f ca="1">IF($O33=0,"",INDEX(Stocuri!$J$5:$J$204,$O33))</f>
        <v/>
      </c>
      <c r="I33" s="26" t="str">
        <f ca="1">IF($O33=0,"",INDEX(Stocuri!$P$5:$P$204,$O33))</f>
        <v/>
      </c>
      <c r="J33" s="18" t="str">
        <f ca="1">IF($O33=0,"",INDEX(Produse!$G$5:$G$204,$O33))</f>
        <v/>
      </c>
      <c r="K33" s="18" t="str">
        <f t="shared" ca="1" si="0"/>
        <v/>
      </c>
      <c r="L33" s="11" t="str">
        <f ca="1">IF($O33=0,"",INDEX(Produse!$K$5:$K$204,$O33))</f>
        <v/>
      </c>
      <c r="M33" s="22" t="str">
        <f t="shared" ca="1" si="1"/>
        <v/>
      </c>
      <c r="O33" s="23">
        <f ca="1">IFERROR(_xlfn.AGGREGATE(15,6,(ROW(Stocuri!$P$5:$P$204)-4)/(ISNUMBER(Stocuri!$P$5:$P$204)*(Stocuri!$P$5:$P$204&gt;0)),29),0)</f>
        <v>0</v>
      </c>
    </row>
    <row r="34" spans="2:15" x14ac:dyDescent="0.2">
      <c r="B34" s="10" t="str">
        <f ca="1">IF($O34=0,"",INDEX(Produse!$F$5:$F$204,$O34))</f>
        <v/>
      </c>
      <c r="C34" s="11" t="str">
        <f ca="1">IF($O34=0,"",INDEX(Stocuri!$B$5:$B$204,$O34))</f>
        <v/>
      </c>
      <c r="D34" s="10" t="str">
        <f ca="1">IF($O34=0,"",INDEX(Stocuri!$C$5:$C$204,$O34))</f>
        <v/>
      </c>
      <c r="E34" s="11" t="str">
        <f ca="1">IF($O34=0,"",INDEX(Stocuri!$E$5:$E$204,$O34))</f>
        <v/>
      </c>
      <c r="F34" s="17" t="str">
        <f ca="1">IF($O34=0,"",INDEX(Stocuri!$F$5:$F$204,$O34))</f>
        <v/>
      </c>
      <c r="G34" s="17" t="str">
        <f ca="1">IF($O34=0,"",INDEX(Stocuri!$I$5:$I$204,$O34))</f>
        <v/>
      </c>
      <c r="H34" s="17" t="str">
        <f ca="1">IF($O34=0,"",INDEX(Stocuri!$J$5:$J$204,$O34))</f>
        <v/>
      </c>
      <c r="I34" s="26" t="str">
        <f ca="1">IF($O34=0,"",INDEX(Stocuri!$P$5:$P$204,$O34))</f>
        <v/>
      </c>
      <c r="J34" s="18" t="str">
        <f ca="1">IF($O34=0,"",INDEX(Produse!$G$5:$G$204,$O34))</f>
        <v/>
      </c>
      <c r="K34" s="18" t="str">
        <f t="shared" ca="1" si="0"/>
        <v/>
      </c>
      <c r="L34" s="11" t="str">
        <f ca="1">IF($O34=0,"",INDEX(Produse!$K$5:$K$204,$O34))</f>
        <v/>
      </c>
      <c r="M34" s="22" t="str">
        <f t="shared" ca="1" si="1"/>
        <v/>
      </c>
      <c r="O34" s="23">
        <f ca="1">IFERROR(_xlfn.AGGREGATE(15,6,(ROW(Stocuri!$P$5:$P$204)-4)/(ISNUMBER(Stocuri!$P$5:$P$204)*(Stocuri!$P$5:$P$204&gt;0)),30),0)</f>
        <v>0</v>
      </c>
    </row>
    <row r="35" spans="2:15" x14ac:dyDescent="0.2">
      <c r="B35" s="10" t="str">
        <f ca="1">IF($O35=0,"",INDEX(Produse!$F$5:$F$204,$O35))</f>
        <v/>
      </c>
      <c r="C35" s="11" t="str">
        <f ca="1">IF($O35=0,"",INDEX(Stocuri!$B$5:$B$204,$O35))</f>
        <v/>
      </c>
      <c r="D35" s="10" t="str">
        <f ca="1">IF($O35=0,"",INDEX(Stocuri!$C$5:$C$204,$O35))</f>
        <v/>
      </c>
      <c r="E35" s="11" t="str">
        <f ca="1">IF($O35=0,"",INDEX(Stocuri!$E$5:$E$204,$O35))</f>
        <v/>
      </c>
      <c r="F35" s="17" t="str">
        <f ca="1">IF($O35=0,"",INDEX(Stocuri!$F$5:$F$204,$O35))</f>
        <v/>
      </c>
      <c r="G35" s="17" t="str">
        <f ca="1">IF($O35=0,"",INDEX(Stocuri!$I$5:$I$204,$O35))</f>
        <v/>
      </c>
      <c r="H35" s="17" t="str">
        <f ca="1">IF($O35=0,"",INDEX(Stocuri!$J$5:$J$204,$O35))</f>
        <v/>
      </c>
      <c r="I35" s="26" t="str">
        <f ca="1">IF($O35=0,"",INDEX(Stocuri!$P$5:$P$204,$O35))</f>
        <v/>
      </c>
      <c r="J35" s="18" t="str">
        <f ca="1">IF($O35=0,"",INDEX(Produse!$G$5:$G$204,$O35))</f>
        <v/>
      </c>
      <c r="K35" s="18" t="str">
        <f t="shared" ca="1" si="0"/>
        <v/>
      </c>
      <c r="L35" s="11" t="str">
        <f ca="1">IF($O35=0,"",INDEX(Produse!$K$5:$K$204,$O35))</f>
        <v/>
      </c>
      <c r="M35" s="22" t="str">
        <f t="shared" ca="1" si="1"/>
        <v/>
      </c>
      <c r="O35" s="23">
        <f ca="1">IFERROR(_xlfn.AGGREGATE(15,6,(ROW(Stocuri!$P$5:$P$204)-4)/(ISNUMBER(Stocuri!$P$5:$P$204)*(Stocuri!$P$5:$P$204&gt;0)),31),0)</f>
        <v>0</v>
      </c>
    </row>
    <row r="36" spans="2:15" x14ac:dyDescent="0.2">
      <c r="B36" s="10" t="str">
        <f ca="1">IF($O36=0,"",INDEX(Produse!$F$5:$F$204,$O36))</f>
        <v/>
      </c>
      <c r="C36" s="11" t="str">
        <f ca="1">IF($O36=0,"",INDEX(Stocuri!$B$5:$B$204,$O36))</f>
        <v/>
      </c>
      <c r="D36" s="10" t="str">
        <f ca="1">IF($O36=0,"",INDEX(Stocuri!$C$5:$C$204,$O36))</f>
        <v/>
      </c>
      <c r="E36" s="11" t="str">
        <f ca="1">IF($O36=0,"",INDEX(Stocuri!$E$5:$E$204,$O36))</f>
        <v/>
      </c>
      <c r="F36" s="17" t="str">
        <f ca="1">IF($O36=0,"",INDEX(Stocuri!$F$5:$F$204,$O36))</f>
        <v/>
      </c>
      <c r="G36" s="17" t="str">
        <f ca="1">IF($O36=0,"",INDEX(Stocuri!$I$5:$I$204,$O36))</f>
        <v/>
      </c>
      <c r="H36" s="17" t="str">
        <f ca="1">IF($O36=0,"",INDEX(Stocuri!$J$5:$J$204,$O36))</f>
        <v/>
      </c>
      <c r="I36" s="26" t="str">
        <f ca="1">IF($O36=0,"",INDEX(Stocuri!$P$5:$P$204,$O36))</f>
        <v/>
      </c>
      <c r="J36" s="18" t="str">
        <f ca="1">IF($O36=0,"",INDEX(Produse!$G$5:$G$204,$O36))</f>
        <v/>
      </c>
      <c r="K36" s="18" t="str">
        <f t="shared" ca="1" si="0"/>
        <v/>
      </c>
      <c r="L36" s="11" t="str">
        <f ca="1">IF($O36=0,"",INDEX(Produse!$K$5:$K$204,$O36))</f>
        <v/>
      </c>
      <c r="M36" s="22" t="str">
        <f t="shared" ca="1" si="1"/>
        <v/>
      </c>
      <c r="O36" s="23">
        <f ca="1">IFERROR(_xlfn.AGGREGATE(15,6,(ROW(Stocuri!$P$5:$P$204)-4)/(ISNUMBER(Stocuri!$P$5:$P$204)*(Stocuri!$P$5:$P$204&gt;0)),32),0)</f>
        <v>0</v>
      </c>
    </row>
    <row r="37" spans="2:15" x14ac:dyDescent="0.2">
      <c r="B37" s="10" t="str">
        <f ca="1">IF($O37=0,"",INDEX(Produse!$F$5:$F$204,$O37))</f>
        <v/>
      </c>
      <c r="C37" s="11" t="str">
        <f ca="1">IF($O37=0,"",INDEX(Stocuri!$B$5:$B$204,$O37))</f>
        <v/>
      </c>
      <c r="D37" s="10" t="str">
        <f ca="1">IF($O37=0,"",INDEX(Stocuri!$C$5:$C$204,$O37))</f>
        <v/>
      </c>
      <c r="E37" s="11" t="str">
        <f ca="1">IF($O37=0,"",INDEX(Stocuri!$E$5:$E$204,$O37))</f>
        <v/>
      </c>
      <c r="F37" s="17" t="str">
        <f ca="1">IF($O37=0,"",INDEX(Stocuri!$F$5:$F$204,$O37))</f>
        <v/>
      </c>
      <c r="G37" s="17" t="str">
        <f ca="1">IF($O37=0,"",INDEX(Stocuri!$I$5:$I$204,$O37))</f>
        <v/>
      </c>
      <c r="H37" s="17" t="str">
        <f ca="1">IF($O37=0,"",INDEX(Stocuri!$J$5:$J$204,$O37))</f>
        <v/>
      </c>
      <c r="I37" s="26" t="str">
        <f ca="1">IF($O37=0,"",INDEX(Stocuri!$P$5:$P$204,$O37))</f>
        <v/>
      </c>
      <c r="J37" s="18" t="str">
        <f ca="1">IF($O37=0,"",INDEX(Produse!$G$5:$G$204,$O37))</f>
        <v/>
      </c>
      <c r="K37" s="18" t="str">
        <f t="shared" ca="1" si="0"/>
        <v/>
      </c>
      <c r="L37" s="11" t="str">
        <f ca="1">IF($O37=0,"",INDEX(Produse!$K$5:$K$204,$O37))</f>
        <v/>
      </c>
      <c r="M37" s="22" t="str">
        <f t="shared" ca="1" si="1"/>
        <v/>
      </c>
      <c r="O37" s="23">
        <f ca="1">IFERROR(_xlfn.AGGREGATE(15,6,(ROW(Stocuri!$P$5:$P$204)-4)/(ISNUMBER(Stocuri!$P$5:$P$204)*(Stocuri!$P$5:$P$204&gt;0)),33),0)</f>
        <v>0</v>
      </c>
    </row>
    <row r="38" spans="2:15" x14ac:dyDescent="0.2">
      <c r="B38" s="10" t="str">
        <f ca="1">IF($O38=0,"",INDEX(Produse!$F$5:$F$204,$O38))</f>
        <v/>
      </c>
      <c r="C38" s="11" t="str">
        <f ca="1">IF($O38=0,"",INDEX(Stocuri!$B$5:$B$204,$O38))</f>
        <v/>
      </c>
      <c r="D38" s="10" t="str">
        <f ca="1">IF($O38=0,"",INDEX(Stocuri!$C$5:$C$204,$O38))</f>
        <v/>
      </c>
      <c r="E38" s="11" t="str">
        <f ca="1">IF($O38=0,"",INDEX(Stocuri!$E$5:$E$204,$O38))</f>
        <v/>
      </c>
      <c r="F38" s="17" t="str">
        <f ca="1">IF($O38=0,"",INDEX(Stocuri!$F$5:$F$204,$O38))</f>
        <v/>
      </c>
      <c r="G38" s="17" t="str">
        <f ca="1">IF($O38=0,"",INDEX(Stocuri!$I$5:$I$204,$O38))</f>
        <v/>
      </c>
      <c r="H38" s="17" t="str">
        <f ca="1">IF($O38=0,"",INDEX(Stocuri!$J$5:$J$204,$O38))</f>
        <v/>
      </c>
      <c r="I38" s="26" t="str">
        <f ca="1">IF($O38=0,"",INDEX(Stocuri!$P$5:$P$204,$O38))</f>
        <v/>
      </c>
      <c r="J38" s="18" t="str">
        <f ca="1">IF($O38=0,"",INDEX(Produse!$G$5:$G$204,$O38))</f>
        <v/>
      </c>
      <c r="K38" s="18" t="str">
        <f t="shared" ca="1" si="0"/>
        <v/>
      </c>
      <c r="L38" s="11" t="str">
        <f ca="1">IF($O38=0,"",INDEX(Produse!$K$5:$K$204,$O38))</f>
        <v/>
      </c>
      <c r="M38" s="22" t="str">
        <f t="shared" ca="1" si="1"/>
        <v/>
      </c>
      <c r="O38" s="23">
        <f ca="1">IFERROR(_xlfn.AGGREGATE(15,6,(ROW(Stocuri!$P$5:$P$204)-4)/(ISNUMBER(Stocuri!$P$5:$P$204)*(Stocuri!$P$5:$P$204&gt;0)),34),0)</f>
        <v>0</v>
      </c>
    </row>
    <row r="39" spans="2:15" x14ac:dyDescent="0.2">
      <c r="B39" s="10" t="str">
        <f ca="1">IF($O39=0,"",INDEX(Produse!$F$5:$F$204,$O39))</f>
        <v/>
      </c>
      <c r="C39" s="11" t="str">
        <f ca="1">IF($O39=0,"",INDEX(Stocuri!$B$5:$B$204,$O39))</f>
        <v/>
      </c>
      <c r="D39" s="10" t="str">
        <f ca="1">IF($O39=0,"",INDEX(Stocuri!$C$5:$C$204,$O39))</f>
        <v/>
      </c>
      <c r="E39" s="11" t="str">
        <f ca="1">IF($O39=0,"",INDEX(Stocuri!$E$5:$E$204,$O39))</f>
        <v/>
      </c>
      <c r="F39" s="17" t="str">
        <f ca="1">IF($O39=0,"",INDEX(Stocuri!$F$5:$F$204,$O39))</f>
        <v/>
      </c>
      <c r="G39" s="17" t="str">
        <f ca="1">IF($O39=0,"",INDEX(Stocuri!$I$5:$I$204,$O39))</f>
        <v/>
      </c>
      <c r="H39" s="17" t="str">
        <f ca="1">IF($O39=0,"",INDEX(Stocuri!$J$5:$J$204,$O39))</f>
        <v/>
      </c>
      <c r="I39" s="26" t="str">
        <f ca="1">IF($O39=0,"",INDEX(Stocuri!$P$5:$P$204,$O39))</f>
        <v/>
      </c>
      <c r="J39" s="18" t="str">
        <f ca="1">IF($O39=0,"",INDEX(Produse!$G$5:$G$204,$O39))</f>
        <v/>
      </c>
      <c r="K39" s="18" t="str">
        <f t="shared" ca="1" si="0"/>
        <v/>
      </c>
      <c r="L39" s="11" t="str">
        <f ca="1">IF($O39=0,"",INDEX(Produse!$K$5:$K$204,$O39))</f>
        <v/>
      </c>
      <c r="M39" s="22" t="str">
        <f t="shared" ca="1" si="1"/>
        <v/>
      </c>
      <c r="O39" s="23">
        <f ca="1">IFERROR(_xlfn.AGGREGATE(15,6,(ROW(Stocuri!$P$5:$P$204)-4)/(ISNUMBER(Stocuri!$P$5:$P$204)*(Stocuri!$P$5:$P$204&gt;0)),35),0)</f>
        <v>0</v>
      </c>
    </row>
    <row r="40" spans="2:15" x14ac:dyDescent="0.2">
      <c r="B40" s="10" t="str">
        <f ca="1">IF($O40=0,"",INDEX(Produse!$F$5:$F$204,$O40))</f>
        <v/>
      </c>
      <c r="C40" s="11" t="str">
        <f ca="1">IF($O40=0,"",INDEX(Stocuri!$B$5:$B$204,$O40))</f>
        <v/>
      </c>
      <c r="D40" s="10" t="str">
        <f ca="1">IF($O40=0,"",INDEX(Stocuri!$C$5:$C$204,$O40))</f>
        <v/>
      </c>
      <c r="E40" s="11" t="str">
        <f ca="1">IF($O40=0,"",INDEX(Stocuri!$E$5:$E$204,$O40))</f>
        <v/>
      </c>
      <c r="F40" s="17" t="str">
        <f ca="1">IF($O40=0,"",INDEX(Stocuri!$F$5:$F$204,$O40))</f>
        <v/>
      </c>
      <c r="G40" s="17" t="str">
        <f ca="1">IF($O40=0,"",INDEX(Stocuri!$I$5:$I$204,$O40))</f>
        <v/>
      </c>
      <c r="H40" s="17" t="str">
        <f ca="1">IF($O40=0,"",INDEX(Stocuri!$J$5:$J$204,$O40))</f>
        <v/>
      </c>
      <c r="I40" s="26" t="str">
        <f ca="1">IF($O40=0,"",INDEX(Stocuri!$P$5:$P$204,$O40))</f>
        <v/>
      </c>
      <c r="J40" s="18" t="str">
        <f ca="1">IF($O40=0,"",INDEX(Produse!$G$5:$G$204,$O40))</f>
        <v/>
      </c>
      <c r="K40" s="18" t="str">
        <f t="shared" ca="1" si="0"/>
        <v/>
      </c>
      <c r="L40" s="11" t="str">
        <f ca="1">IF($O40=0,"",INDEX(Produse!$K$5:$K$204,$O40))</f>
        <v/>
      </c>
      <c r="M40" s="22" t="str">
        <f t="shared" ca="1" si="1"/>
        <v/>
      </c>
      <c r="O40" s="23">
        <f ca="1">IFERROR(_xlfn.AGGREGATE(15,6,(ROW(Stocuri!$P$5:$P$204)-4)/(ISNUMBER(Stocuri!$P$5:$P$204)*(Stocuri!$P$5:$P$204&gt;0)),36),0)</f>
        <v>0</v>
      </c>
    </row>
    <row r="41" spans="2:15" x14ac:dyDescent="0.2">
      <c r="B41" s="10" t="str">
        <f ca="1">IF($O41=0,"",INDEX(Produse!$F$5:$F$204,$O41))</f>
        <v/>
      </c>
      <c r="C41" s="11" t="str">
        <f ca="1">IF($O41=0,"",INDEX(Stocuri!$B$5:$B$204,$O41))</f>
        <v/>
      </c>
      <c r="D41" s="10" t="str">
        <f ca="1">IF($O41=0,"",INDEX(Stocuri!$C$5:$C$204,$O41))</f>
        <v/>
      </c>
      <c r="E41" s="11" t="str">
        <f ca="1">IF($O41=0,"",INDEX(Stocuri!$E$5:$E$204,$O41))</f>
        <v/>
      </c>
      <c r="F41" s="17" t="str">
        <f ca="1">IF($O41=0,"",INDEX(Stocuri!$F$5:$F$204,$O41))</f>
        <v/>
      </c>
      <c r="G41" s="17" t="str">
        <f ca="1">IF($O41=0,"",INDEX(Stocuri!$I$5:$I$204,$O41))</f>
        <v/>
      </c>
      <c r="H41" s="17" t="str">
        <f ca="1">IF($O41=0,"",INDEX(Stocuri!$J$5:$J$204,$O41))</f>
        <v/>
      </c>
      <c r="I41" s="26" t="str">
        <f ca="1">IF($O41=0,"",INDEX(Stocuri!$P$5:$P$204,$O41))</f>
        <v/>
      </c>
      <c r="J41" s="18" t="str">
        <f ca="1">IF($O41=0,"",INDEX(Produse!$G$5:$G$204,$O41))</f>
        <v/>
      </c>
      <c r="K41" s="18" t="str">
        <f t="shared" ca="1" si="0"/>
        <v/>
      </c>
      <c r="L41" s="11" t="str">
        <f ca="1">IF($O41=0,"",INDEX(Produse!$K$5:$K$204,$O41))</f>
        <v/>
      </c>
      <c r="M41" s="22" t="str">
        <f t="shared" ca="1" si="1"/>
        <v/>
      </c>
      <c r="O41" s="23">
        <f ca="1">IFERROR(_xlfn.AGGREGATE(15,6,(ROW(Stocuri!$P$5:$P$204)-4)/(ISNUMBER(Stocuri!$P$5:$P$204)*(Stocuri!$P$5:$P$204&gt;0)),37),0)</f>
        <v>0</v>
      </c>
    </row>
    <row r="42" spans="2:15" x14ac:dyDescent="0.2">
      <c r="B42" s="10" t="str">
        <f ca="1">IF($O42=0,"",INDEX(Produse!$F$5:$F$204,$O42))</f>
        <v/>
      </c>
      <c r="C42" s="11" t="str">
        <f ca="1">IF($O42=0,"",INDEX(Stocuri!$B$5:$B$204,$O42))</f>
        <v/>
      </c>
      <c r="D42" s="10" t="str">
        <f ca="1">IF($O42=0,"",INDEX(Stocuri!$C$5:$C$204,$O42))</f>
        <v/>
      </c>
      <c r="E42" s="11" t="str">
        <f ca="1">IF($O42=0,"",INDEX(Stocuri!$E$5:$E$204,$O42))</f>
        <v/>
      </c>
      <c r="F42" s="17" t="str">
        <f ca="1">IF($O42=0,"",INDEX(Stocuri!$F$5:$F$204,$O42))</f>
        <v/>
      </c>
      <c r="G42" s="17" t="str">
        <f ca="1">IF($O42=0,"",INDEX(Stocuri!$I$5:$I$204,$O42))</f>
        <v/>
      </c>
      <c r="H42" s="17" t="str">
        <f ca="1">IF($O42=0,"",INDEX(Stocuri!$J$5:$J$204,$O42))</f>
        <v/>
      </c>
      <c r="I42" s="26" t="str">
        <f ca="1">IF($O42=0,"",INDEX(Stocuri!$P$5:$P$204,$O42))</f>
        <v/>
      </c>
      <c r="J42" s="18" t="str">
        <f ca="1">IF($O42=0,"",INDEX(Produse!$G$5:$G$204,$O42))</f>
        <v/>
      </c>
      <c r="K42" s="18" t="str">
        <f t="shared" ca="1" si="0"/>
        <v/>
      </c>
      <c r="L42" s="11" t="str">
        <f ca="1">IF($O42=0,"",INDEX(Produse!$K$5:$K$204,$O42))</f>
        <v/>
      </c>
      <c r="M42" s="22" t="str">
        <f t="shared" ca="1" si="1"/>
        <v/>
      </c>
      <c r="O42" s="23">
        <f ca="1">IFERROR(_xlfn.AGGREGATE(15,6,(ROW(Stocuri!$P$5:$P$204)-4)/(ISNUMBER(Stocuri!$P$5:$P$204)*(Stocuri!$P$5:$P$204&gt;0)),38),0)</f>
        <v>0</v>
      </c>
    </row>
    <row r="43" spans="2:15" x14ac:dyDescent="0.2">
      <c r="B43" s="10" t="str">
        <f ca="1">IF($O43=0,"",INDEX(Produse!$F$5:$F$204,$O43))</f>
        <v/>
      </c>
      <c r="C43" s="11" t="str">
        <f ca="1">IF($O43=0,"",INDEX(Stocuri!$B$5:$B$204,$O43))</f>
        <v/>
      </c>
      <c r="D43" s="10" t="str">
        <f ca="1">IF($O43=0,"",INDEX(Stocuri!$C$5:$C$204,$O43))</f>
        <v/>
      </c>
      <c r="E43" s="11" t="str">
        <f ca="1">IF($O43=0,"",INDEX(Stocuri!$E$5:$E$204,$O43))</f>
        <v/>
      </c>
      <c r="F43" s="17" t="str">
        <f ca="1">IF($O43=0,"",INDEX(Stocuri!$F$5:$F$204,$O43))</f>
        <v/>
      </c>
      <c r="G43" s="17" t="str">
        <f ca="1">IF($O43=0,"",INDEX(Stocuri!$I$5:$I$204,$O43))</f>
        <v/>
      </c>
      <c r="H43" s="17" t="str">
        <f ca="1">IF($O43=0,"",INDEX(Stocuri!$J$5:$J$204,$O43))</f>
        <v/>
      </c>
      <c r="I43" s="26" t="str">
        <f ca="1">IF($O43=0,"",INDEX(Stocuri!$P$5:$P$204,$O43))</f>
        <v/>
      </c>
      <c r="J43" s="18" t="str">
        <f ca="1">IF($O43=0,"",INDEX(Produse!$G$5:$G$204,$O43))</f>
        <v/>
      </c>
      <c r="K43" s="18" t="str">
        <f t="shared" ca="1" si="0"/>
        <v/>
      </c>
      <c r="L43" s="11" t="str">
        <f ca="1">IF($O43=0,"",INDEX(Produse!$K$5:$K$204,$O43))</f>
        <v/>
      </c>
      <c r="M43" s="22" t="str">
        <f t="shared" ca="1" si="1"/>
        <v/>
      </c>
      <c r="O43" s="23">
        <f ca="1">IFERROR(_xlfn.AGGREGATE(15,6,(ROW(Stocuri!$P$5:$P$204)-4)/(ISNUMBER(Stocuri!$P$5:$P$204)*(Stocuri!$P$5:$P$204&gt;0)),39),0)</f>
        <v>0</v>
      </c>
    </row>
    <row r="44" spans="2:15" x14ac:dyDescent="0.2">
      <c r="B44" s="10" t="str">
        <f ca="1">IF($O44=0,"",INDEX(Produse!$F$5:$F$204,$O44))</f>
        <v/>
      </c>
      <c r="C44" s="11" t="str">
        <f ca="1">IF($O44=0,"",INDEX(Stocuri!$B$5:$B$204,$O44))</f>
        <v/>
      </c>
      <c r="D44" s="10" t="str">
        <f ca="1">IF($O44=0,"",INDEX(Stocuri!$C$5:$C$204,$O44))</f>
        <v/>
      </c>
      <c r="E44" s="11" t="str">
        <f ca="1">IF($O44=0,"",INDEX(Stocuri!$E$5:$E$204,$O44))</f>
        <v/>
      </c>
      <c r="F44" s="17" t="str">
        <f ca="1">IF($O44=0,"",INDEX(Stocuri!$F$5:$F$204,$O44))</f>
        <v/>
      </c>
      <c r="G44" s="17" t="str">
        <f ca="1">IF($O44=0,"",INDEX(Stocuri!$I$5:$I$204,$O44))</f>
        <v/>
      </c>
      <c r="H44" s="17" t="str">
        <f ca="1">IF($O44=0,"",INDEX(Stocuri!$J$5:$J$204,$O44))</f>
        <v/>
      </c>
      <c r="I44" s="26" t="str">
        <f ca="1">IF($O44=0,"",INDEX(Stocuri!$P$5:$P$204,$O44))</f>
        <v/>
      </c>
      <c r="J44" s="18" t="str">
        <f ca="1">IF($O44=0,"",INDEX(Produse!$G$5:$G$204,$O44))</f>
        <v/>
      </c>
      <c r="K44" s="18" t="str">
        <f t="shared" ca="1" si="0"/>
        <v/>
      </c>
      <c r="L44" s="11" t="str">
        <f ca="1">IF($O44=0,"",INDEX(Produse!$K$5:$K$204,$O44))</f>
        <v/>
      </c>
      <c r="M44" s="22" t="str">
        <f t="shared" ca="1" si="1"/>
        <v/>
      </c>
      <c r="O44" s="23">
        <f ca="1">IFERROR(_xlfn.AGGREGATE(15,6,(ROW(Stocuri!$P$5:$P$204)-4)/(ISNUMBER(Stocuri!$P$5:$P$204)*(Stocuri!$P$5:$P$204&gt;0)),40),0)</f>
        <v>0</v>
      </c>
    </row>
    <row r="45" spans="2:15" x14ac:dyDescent="0.2">
      <c r="J45" s="24" t="s">
        <v>280</v>
      </c>
      <c r="K45" s="25">
        <f ca="1">SUM(K5:K44)</f>
        <v>9857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77938-6B27-40F9-B151-C0A79CF3839E}">
  <dimension ref="B1:J205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32.7109375" style="1" customWidth="1"/>
    <col min="4" max="4" width="6.7109375" style="1" customWidth="1"/>
    <col min="5" max="5" width="8.7109375" style="1" customWidth="1"/>
    <col min="6" max="6" width="10.7109375" style="1" customWidth="1"/>
    <col min="7" max="7" width="11.7109375" style="1" customWidth="1"/>
    <col min="8" max="8" width="10.7109375" style="1" customWidth="1"/>
    <col min="9" max="9" width="12.7109375" style="1" customWidth="1"/>
    <col min="10" max="10" width="34.7109375" style="1" customWidth="1"/>
    <col min="11" max="16384" width="11.42578125" style="1"/>
  </cols>
  <sheetData>
    <row r="1" spans="2:10" ht="21" x14ac:dyDescent="0.35">
      <c r="B1" s="2" t="s">
        <v>281</v>
      </c>
    </row>
    <row r="2" spans="2:10" x14ac:dyDescent="0.2">
      <c r="B2" s="3" t="s">
        <v>282</v>
      </c>
    </row>
    <row r="4" spans="2:10" ht="30" customHeight="1" x14ac:dyDescent="0.2">
      <c r="B4" s="9" t="s">
        <v>28</v>
      </c>
      <c r="C4" s="9" t="s">
        <v>29</v>
      </c>
      <c r="D4" s="9" t="s">
        <v>31</v>
      </c>
      <c r="E4" s="9" t="s">
        <v>38</v>
      </c>
      <c r="F4" s="9" t="s">
        <v>283</v>
      </c>
      <c r="G4" s="9" t="s">
        <v>284</v>
      </c>
      <c r="H4" s="9" t="s">
        <v>285</v>
      </c>
      <c r="I4" s="9" t="s">
        <v>286</v>
      </c>
      <c r="J4" s="9" t="s">
        <v>287</v>
      </c>
    </row>
    <row r="5" spans="2:10" x14ac:dyDescent="0.2">
      <c r="B5" s="11" t="str">
        <f>Stocuri!B5</f>
        <v>P01</v>
      </c>
      <c r="C5" s="10" t="str">
        <f>Stocuri!C5</f>
        <v>Cablu CYY-F 3x2,5</v>
      </c>
      <c r="D5" s="11" t="str">
        <f>Stocuri!E5</f>
        <v>m</v>
      </c>
      <c r="E5" s="11" t="str">
        <f>IF(B5="","",Produse!L5)</f>
        <v>R1-A</v>
      </c>
      <c r="F5" s="17">
        <f ca="1">Stocuri!F5</f>
        <v>448</v>
      </c>
      <c r="G5" s="16">
        <v>440</v>
      </c>
      <c r="H5" s="17">
        <f t="shared" ref="H5:H36" ca="1" si="0">IF(OR(B5="",G5=""),"",G5-F5)</f>
        <v>-8</v>
      </c>
      <c r="I5" s="18">
        <f ca="1">IF(H5="","",ROUND(H5*Stocuri!G5,2))</f>
        <v>-28.72</v>
      </c>
      <c r="J5" s="6" t="s">
        <v>288</v>
      </c>
    </row>
    <row r="6" spans="2:10" x14ac:dyDescent="0.2">
      <c r="B6" s="11" t="str">
        <f>Stocuri!B6</f>
        <v>P02</v>
      </c>
      <c r="C6" s="10" t="str">
        <f>Stocuri!C6</f>
        <v>Tub flexibil PVC 20 mm</v>
      </c>
      <c r="D6" s="11" t="str">
        <f>Stocuri!E6</f>
        <v>m</v>
      </c>
      <c r="E6" s="11" t="str">
        <f>IF(B6="","",Produse!L6)</f>
        <v>R1-B</v>
      </c>
      <c r="F6" s="17">
        <f ca="1">Stocuri!F6</f>
        <v>100</v>
      </c>
      <c r="G6" s="16"/>
      <c r="H6" s="17" t="str">
        <f t="shared" si="0"/>
        <v/>
      </c>
      <c r="I6" s="18" t="str">
        <f>IF(H6="","",ROUND(H6*Stocuri!G6,2))</f>
        <v/>
      </c>
      <c r="J6" s="6"/>
    </row>
    <row r="7" spans="2:10" x14ac:dyDescent="0.2">
      <c r="B7" s="11" t="str">
        <f>Stocuri!B7</f>
        <v>P03</v>
      </c>
      <c r="C7" s="10" t="str">
        <f>Stocuri!C7</f>
        <v>Doză aparat îngropată</v>
      </c>
      <c r="D7" s="11" t="str">
        <f>Stocuri!E7</f>
        <v>buc</v>
      </c>
      <c r="E7" s="11" t="str">
        <f>IF(B7="","",Produse!L7)</f>
        <v>R1-C</v>
      </c>
      <c r="F7" s="17">
        <f ca="1">Stocuri!F7</f>
        <v>400</v>
      </c>
      <c r="G7" s="16"/>
      <c r="H7" s="17" t="str">
        <f t="shared" si="0"/>
        <v/>
      </c>
      <c r="I7" s="18" t="str">
        <f>IF(H7="","",ROUND(H7*Stocuri!G7,2))</f>
        <v/>
      </c>
      <c r="J7" s="6"/>
    </row>
    <row r="8" spans="2:10" x14ac:dyDescent="0.2">
      <c r="B8" s="11" t="str">
        <f>Stocuri!B8</f>
        <v>P04</v>
      </c>
      <c r="C8" s="10" t="str">
        <f>Stocuri!C8</f>
        <v>Întrerupător simplu Schneider Sedna</v>
      </c>
      <c r="D8" s="11" t="str">
        <f>Stocuri!E8</f>
        <v>buc</v>
      </c>
      <c r="E8" s="11" t="str">
        <f>IF(B8="","",Produse!L8)</f>
        <v>R2-A</v>
      </c>
      <c r="F8" s="17">
        <f ca="1">Stocuri!F8</f>
        <v>74</v>
      </c>
      <c r="G8" s="16">
        <v>74</v>
      </c>
      <c r="H8" s="17">
        <f t="shared" ca="1" si="0"/>
        <v>0</v>
      </c>
      <c r="I8" s="18">
        <f ca="1">IF(H8="","",ROUND(H8*Stocuri!G8,2))</f>
        <v>0</v>
      </c>
      <c r="J8" s="6"/>
    </row>
    <row r="9" spans="2:10" x14ac:dyDescent="0.2">
      <c r="B9" s="11" t="str">
        <f>Stocuri!B9</f>
        <v>P05</v>
      </c>
      <c r="C9" s="10" t="str">
        <f>Stocuri!C9</f>
        <v>Priză dublă cu împământare</v>
      </c>
      <c r="D9" s="11" t="str">
        <f>Stocuri!E9</f>
        <v>buc</v>
      </c>
      <c r="E9" s="11" t="str">
        <f>IF(B9="","",Produse!L9)</f>
        <v>R2-B</v>
      </c>
      <c r="F9" s="17">
        <f ca="1">Stocuri!F9</f>
        <v>30</v>
      </c>
      <c r="G9" s="16">
        <v>30</v>
      </c>
      <c r="H9" s="17">
        <f t="shared" ca="1" si="0"/>
        <v>0</v>
      </c>
      <c r="I9" s="18">
        <f ca="1">IF(H9="","",ROUND(H9*Stocuri!G9,2))</f>
        <v>0</v>
      </c>
      <c r="J9" s="6"/>
    </row>
    <row r="10" spans="2:10" x14ac:dyDescent="0.2">
      <c r="B10" s="11" t="str">
        <f>Stocuri!B10</f>
        <v>P06</v>
      </c>
      <c r="C10" s="10" t="str">
        <f>Stocuri!C10</f>
        <v>Tablou electric 12 module</v>
      </c>
      <c r="D10" s="11" t="str">
        <f>Stocuri!E10</f>
        <v>buc</v>
      </c>
      <c r="E10" s="11" t="str">
        <f>IF(B10="","",Produse!L10)</f>
        <v>R3-A</v>
      </c>
      <c r="F10" s="17">
        <f ca="1">Stocuri!F10</f>
        <v>9</v>
      </c>
      <c r="G10" s="16"/>
      <c r="H10" s="17" t="str">
        <f t="shared" si="0"/>
        <v/>
      </c>
      <c r="I10" s="18" t="str">
        <f>IF(H10="","",ROUND(H10*Stocuri!G10,2))</f>
        <v/>
      </c>
      <c r="J10" s="6"/>
    </row>
    <row r="11" spans="2:10" x14ac:dyDescent="0.2">
      <c r="B11" s="11" t="str">
        <f>Stocuri!B11</f>
        <v>P07</v>
      </c>
      <c r="C11" s="10" t="str">
        <f>Stocuri!C11</f>
        <v>Siguranță automată 16A</v>
      </c>
      <c r="D11" s="11" t="str">
        <f>Stocuri!E11</f>
        <v>buc</v>
      </c>
      <c r="E11" s="11" t="str">
        <f>IF(B11="","",Produse!L11)</f>
        <v>R3-B</v>
      </c>
      <c r="F11" s="17">
        <f ca="1">Stocuri!F11</f>
        <v>140</v>
      </c>
      <c r="G11" s="16"/>
      <c r="H11" s="17" t="str">
        <f t="shared" si="0"/>
        <v/>
      </c>
      <c r="I11" s="18" t="str">
        <f>IF(H11="","",ROUND(H11*Stocuri!G11,2))</f>
        <v/>
      </c>
      <c r="J11" s="6"/>
    </row>
    <row r="12" spans="2:10" x14ac:dyDescent="0.2">
      <c r="B12" s="11" t="str">
        <f>Stocuri!B12</f>
        <v>P08</v>
      </c>
      <c r="C12" s="10" t="str">
        <f>Stocuri!C12</f>
        <v>Corp iluminat LED 36W</v>
      </c>
      <c r="D12" s="11" t="str">
        <f>Stocuri!E12</f>
        <v>buc</v>
      </c>
      <c r="E12" s="11" t="str">
        <f>IF(B12="","",Produse!L12)</f>
        <v>R4-A</v>
      </c>
      <c r="F12" s="17">
        <f ca="1">Stocuri!F12</f>
        <v>16</v>
      </c>
      <c r="G12" s="16">
        <v>15</v>
      </c>
      <c r="H12" s="17">
        <f t="shared" ca="1" si="0"/>
        <v>-1</v>
      </c>
      <c r="I12" s="18">
        <f ca="1">IF(H12="","",ROUND(H12*Stocuri!G12,2))</f>
        <v>-61.4</v>
      </c>
      <c r="J12" s="6" t="s">
        <v>289</v>
      </c>
    </row>
    <row r="13" spans="2:10" x14ac:dyDescent="0.2">
      <c r="B13" s="11" t="str">
        <f>Stocuri!B13</f>
        <v>P09</v>
      </c>
      <c r="C13" s="10" t="str">
        <f>Stocuri!C13</f>
        <v>Bec LED E27 9W</v>
      </c>
      <c r="D13" s="11" t="str">
        <f>Stocuri!E13</f>
        <v>buc</v>
      </c>
      <c r="E13" s="11" t="str">
        <f>IF(B13="","",Produse!L13)</f>
        <v>R4-B</v>
      </c>
      <c r="F13" s="17">
        <f ca="1">Stocuri!F13</f>
        <v>560</v>
      </c>
      <c r="G13" s="16"/>
      <c r="H13" s="17" t="str">
        <f t="shared" si="0"/>
        <v/>
      </c>
      <c r="I13" s="18" t="str">
        <f>IF(H13="","",ROUND(H13*Stocuri!G13,2))</f>
        <v/>
      </c>
      <c r="J13" s="6"/>
    </row>
    <row r="14" spans="2:10" x14ac:dyDescent="0.2">
      <c r="B14" s="11" t="str">
        <f>Stocuri!B14</f>
        <v>P10</v>
      </c>
      <c r="C14" s="10" t="str">
        <f>Stocuri!C14</f>
        <v>Prelungitor 5 prize cu întrerupător</v>
      </c>
      <c r="D14" s="11" t="str">
        <f>Stocuri!E14</f>
        <v>buc</v>
      </c>
      <c r="E14" s="11" t="str">
        <f>IF(B14="","",Produse!L14)</f>
        <v>R5-A</v>
      </c>
      <c r="F14" s="17">
        <f ca="1">Stocuri!F14</f>
        <v>25</v>
      </c>
      <c r="G14" s="16"/>
      <c r="H14" s="17" t="str">
        <f t="shared" si="0"/>
        <v/>
      </c>
      <c r="I14" s="18" t="str">
        <f>IF(H14="","",ROUND(H14*Stocuri!G14,2))</f>
        <v/>
      </c>
      <c r="J14" s="6"/>
    </row>
    <row r="15" spans="2:10" x14ac:dyDescent="0.2">
      <c r="B15" s="11" t="str">
        <f>Stocuri!B15</f>
        <v>P11</v>
      </c>
      <c r="C15" s="10" t="str">
        <f>Stocuri!C15</f>
        <v>Bandă izolatoare 19 mm</v>
      </c>
      <c r="D15" s="11" t="str">
        <f>Stocuri!E15</f>
        <v>buc</v>
      </c>
      <c r="E15" s="11" t="str">
        <f>IF(B15="","",Produse!L15)</f>
        <v>R5-B</v>
      </c>
      <c r="F15" s="17">
        <f ca="1">Stocuri!F15</f>
        <v>66</v>
      </c>
      <c r="G15" s="16"/>
      <c r="H15" s="17" t="str">
        <f t="shared" si="0"/>
        <v/>
      </c>
      <c r="I15" s="18" t="str">
        <f>IF(H15="","",ROUND(H15*Stocuri!G15,2))</f>
        <v/>
      </c>
      <c r="J15" s="6"/>
    </row>
    <row r="16" spans="2:10" x14ac:dyDescent="0.2">
      <c r="B16" s="11" t="str">
        <f>Stocuri!B16</f>
        <v>P12</v>
      </c>
      <c r="C16" s="10" t="str">
        <f>Stocuri!C16</f>
        <v>Cablu MYF 1,5 mm</v>
      </c>
      <c r="D16" s="11" t="str">
        <f>Stocuri!E16</f>
        <v>m</v>
      </c>
      <c r="E16" s="11" t="str">
        <f>IF(B16="","",Produse!L16)</f>
        <v>R1-D</v>
      </c>
      <c r="F16" s="17">
        <f ca="1">Stocuri!F16</f>
        <v>0</v>
      </c>
      <c r="G16" s="16"/>
      <c r="H16" s="17" t="str">
        <f t="shared" si="0"/>
        <v/>
      </c>
      <c r="I16" s="18" t="str">
        <f>IF(H16="","",ROUND(H16*Stocuri!G16,2))</f>
        <v/>
      </c>
      <c r="J16" s="6"/>
    </row>
    <row r="17" spans="2:10" x14ac:dyDescent="0.2">
      <c r="B17" s="11" t="str">
        <f>Stocuri!B17</f>
        <v/>
      </c>
      <c r="C17" s="10" t="str">
        <f>Stocuri!C17</f>
        <v/>
      </c>
      <c r="D17" s="11" t="str">
        <f>Stocuri!E17</f>
        <v/>
      </c>
      <c r="E17" s="11" t="str">
        <f>IF(B17="","",Produse!L17)</f>
        <v/>
      </c>
      <c r="F17" s="17" t="str">
        <f>Stocuri!F17</f>
        <v/>
      </c>
      <c r="G17" s="16"/>
      <c r="H17" s="17" t="str">
        <f t="shared" si="0"/>
        <v/>
      </c>
      <c r="I17" s="18" t="str">
        <f>IF(H17="","",ROUND(H17*Stocuri!G17,2))</f>
        <v/>
      </c>
      <c r="J17" s="6"/>
    </row>
    <row r="18" spans="2:10" x14ac:dyDescent="0.2">
      <c r="B18" s="11" t="str">
        <f>Stocuri!B18</f>
        <v/>
      </c>
      <c r="C18" s="10" t="str">
        <f>Stocuri!C18</f>
        <v/>
      </c>
      <c r="D18" s="11" t="str">
        <f>Stocuri!E18</f>
        <v/>
      </c>
      <c r="E18" s="11" t="str">
        <f>IF(B18="","",Produse!L18)</f>
        <v/>
      </c>
      <c r="F18" s="17" t="str">
        <f>Stocuri!F18</f>
        <v/>
      </c>
      <c r="G18" s="16"/>
      <c r="H18" s="17" t="str">
        <f t="shared" si="0"/>
        <v/>
      </c>
      <c r="I18" s="18" t="str">
        <f>IF(H18="","",ROUND(H18*Stocuri!G18,2))</f>
        <v/>
      </c>
      <c r="J18" s="6"/>
    </row>
    <row r="19" spans="2:10" x14ac:dyDescent="0.2">
      <c r="B19" s="11" t="str">
        <f>Stocuri!B19</f>
        <v/>
      </c>
      <c r="C19" s="10" t="str">
        <f>Stocuri!C19</f>
        <v/>
      </c>
      <c r="D19" s="11" t="str">
        <f>Stocuri!E19</f>
        <v/>
      </c>
      <c r="E19" s="11" t="str">
        <f>IF(B19="","",Produse!L19)</f>
        <v/>
      </c>
      <c r="F19" s="17" t="str">
        <f>Stocuri!F19</f>
        <v/>
      </c>
      <c r="G19" s="16"/>
      <c r="H19" s="17" t="str">
        <f t="shared" si="0"/>
        <v/>
      </c>
      <c r="I19" s="18" t="str">
        <f>IF(H19="","",ROUND(H19*Stocuri!G19,2))</f>
        <v/>
      </c>
      <c r="J19" s="6"/>
    </row>
    <row r="20" spans="2:10" x14ac:dyDescent="0.2">
      <c r="B20" s="11" t="str">
        <f>Stocuri!B20</f>
        <v/>
      </c>
      <c r="C20" s="10" t="str">
        <f>Stocuri!C20</f>
        <v/>
      </c>
      <c r="D20" s="11" t="str">
        <f>Stocuri!E20</f>
        <v/>
      </c>
      <c r="E20" s="11" t="str">
        <f>IF(B20="","",Produse!L20)</f>
        <v/>
      </c>
      <c r="F20" s="17" t="str">
        <f>Stocuri!F20</f>
        <v/>
      </c>
      <c r="G20" s="16"/>
      <c r="H20" s="17" t="str">
        <f t="shared" si="0"/>
        <v/>
      </c>
      <c r="I20" s="18" t="str">
        <f>IF(H20="","",ROUND(H20*Stocuri!G20,2))</f>
        <v/>
      </c>
      <c r="J20" s="6"/>
    </row>
    <row r="21" spans="2:10" x14ac:dyDescent="0.2">
      <c r="B21" s="11" t="str">
        <f>Stocuri!B21</f>
        <v/>
      </c>
      <c r="C21" s="10" t="str">
        <f>Stocuri!C21</f>
        <v/>
      </c>
      <c r="D21" s="11" t="str">
        <f>Stocuri!E21</f>
        <v/>
      </c>
      <c r="E21" s="11" t="str">
        <f>IF(B21="","",Produse!L21)</f>
        <v/>
      </c>
      <c r="F21" s="17" t="str">
        <f>Stocuri!F21</f>
        <v/>
      </c>
      <c r="G21" s="16"/>
      <c r="H21" s="17" t="str">
        <f t="shared" si="0"/>
        <v/>
      </c>
      <c r="I21" s="18" t="str">
        <f>IF(H21="","",ROUND(H21*Stocuri!G21,2))</f>
        <v/>
      </c>
      <c r="J21" s="6"/>
    </row>
    <row r="22" spans="2:10" x14ac:dyDescent="0.2">
      <c r="B22" s="11" t="str">
        <f>Stocuri!B22</f>
        <v/>
      </c>
      <c r="C22" s="10" t="str">
        <f>Stocuri!C22</f>
        <v/>
      </c>
      <c r="D22" s="11" t="str">
        <f>Stocuri!E22</f>
        <v/>
      </c>
      <c r="E22" s="11" t="str">
        <f>IF(B22="","",Produse!L22)</f>
        <v/>
      </c>
      <c r="F22" s="17" t="str">
        <f>Stocuri!F22</f>
        <v/>
      </c>
      <c r="G22" s="16"/>
      <c r="H22" s="17" t="str">
        <f t="shared" si="0"/>
        <v/>
      </c>
      <c r="I22" s="18" t="str">
        <f>IF(H22="","",ROUND(H22*Stocuri!G22,2))</f>
        <v/>
      </c>
      <c r="J22" s="6"/>
    </row>
    <row r="23" spans="2:10" x14ac:dyDescent="0.2">
      <c r="B23" s="11" t="str">
        <f>Stocuri!B23</f>
        <v/>
      </c>
      <c r="C23" s="10" t="str">
        <f>Stocuri!C23</f>
        <v/>
      </c>
      <c r="D23" s="11" t="str">
        <f>Stocuri!E23</f>
        <v/>
      </c>
      <c r="E23" s="11" t="str">
        <f>IF(B23="","",Produse!L23)</f>
        <v/>
      </c>
      <c r="F23" s="17" t="str">
        <f>Stocuri!F23</f>
        <v/>
      </c>
      <c r="G23" s="16"/>
      <c r="H23" s="17" t="str">
        <f t="shared" si="0"/>
        <v/>
      </c>
      <c r="I23" s="18" t="str">
        <f>IF(H23="","",ROUND(H23*Stocuri!G23,2))</f>
        <v/>
      </c>
      <c r="J23" s="6"/>
    </row>
    <row r="24" spans="2:10" x14ac:dyDescent="0.2">
      <c r="B24" s="11" t="str">
        <f>Stocuri!B24</f>
        <v/>
      </c>
      <c r="C24" s="10" t="str">
        <f>Stocuri!C24</f>
        <v/>
      </c>
      <c r="D24" s="11" t="str">
        <f>Stocuri!E24</f>
        <v/>
      </c>
      <c r="E24" s="11" t="str">
        <f>IF(B24="","",Produse!L24)</f>
        <v/>
      </c>
      <c r="F24" s="17" t="str">
        <f>Stocuri!F24</f>
        <v/>
      </c>
      <c r="G24" s="16"/>
      <c r="H24" s="17" t="str">
        <f t="shared" si="0"/>
        <v/>
      </c>
      <c r="I24" s="18" t="str">
        <f>IF(H24="","",ROUND(H24*Stocuri!G24,2))</f>
        <v/>
      </c>
      <c r="J24" s="6"/>
    </row>
    <row r="25" spans="2:10" x14ac:dyDescent="0.2">
      <c r="B25" s="11" t="str">
        <f>Stocuri!B25</f>
        <v/>
      </c>
      <c r="C25" s="10" t="str">
        <f>Stocuri!C25</f>
        <v/>
      </c>
      <c r="D25" s="11" t="str">
        <f>Stocuri!E25</f>
        <v/>
      </c>
      <c r="E25" s="11" t="str">
        <f>IF(B25="","",Produse!L25)</f>
        <v/>
      </c>
      <c r="F25" s="17" t="str">
        <f>Stocuri!F25</f>
        <v/>
      </c>
      <c r="G25" s="16"/>
      <c r="H25" s="17" t="str">
        <f t="shared" si="0"/>
        <v/>
      </c>
      <c r="I25" s="18" t="str">
        <f>IF(H25="","",ROUND(H25*Stocuri!G25,2))</f>
        <v/>
      </c>
      <c r="J25" s="6"/>
    </row>
    <row r="26" spans="2:10" x14ac:dyDescent="0.2">
      <c r="B26" s="11" t="str">
        <f>Stocuri!B26</f>
        <v/>
      </c>
      <c r="C26" s="10" t="str">
        <f>Stocuri!C26</f>
        <v/>
      </c>
      <c r="D26" s="11" t="str">
        <f>Stocuri!E26</f>
        <v/>
      </c>
      <c r="E26" s="11" t="str">
        <f>IF(B26="","",Produse!L26)</f>
        <v/>
      </c>
      <c r="F26" s="17" t="str">
        <f>Stocuri!F26</f>
        <v/>
      </c>
      <c r="G26" s="16"/>
      <c r="H26" s="17" t="str">
        <f t="shared" si="0"/>
        <v/>
      </c>
      <c r="I26" s="18" t="str">
        <f>IF(H26="","",ROUND(H26*Stocuri!G26,2))</f>
        <v/>
      </c>
      <c r="J26" s="6"/>
    </row>
    <row r="27" spans="2:10" x14ac:dyDescent="0.2">
      <c r="B27" s="11" t="str">
        <f>Stocuri!B27</f>
        <v/>
      </c>
      <c r="C27" s="10" t="str">
        <f>Stocuri!C27</f>
        <v/>
      </c>
      <c r="D27" s="11" t="str">
        <f>Stocuri!E27</f>
        <v/>
      </c>
      <c r="E27" s="11" t="str">
        <f>IF(B27="","",Produse!L27)</f>
        <v/>
      </c>
      <c r="F27" s="17" t="str">
        <f>Stocuri!F27</f>
        <v/>
      </c>
      <c r="G27" s="16"/>
      <c r="H27" s="17" t="str">
        <f t="shared" si="0"/>
        <v/>
      </c>
      <c r="I27" s="18" t="str">
        <f>IF(H27="","",ROUND(H27*Stocuri!G27,2))</f>
        <v/>
      </c>
      <c r="J27" s="6"/>
    </row>
    <row r="28" spans="2:10" x14ac:dyDescent="0.2">
      <c r="B28" s="11" t="str">
        <f>Stocuri!B28</f>
        <v/>
      </c>
      <c r="C28" s="10" t="str">
        <f>Stocuri!C28</f>
        <v/>
      </c>
      <c r="D28" s="11" t="str">
        <f>Stocuri!E28</f>
        <v/>
      </c>
      <c r="E28" s="11" t="str">
        <f>IF(B28="","",Produse!L28)</f>
        <v/>
      </c>
      <c r="F28" s="17" t="str">
        <f>Stocuri!F28</f>
        <v/>
      </c>
      <c r="G28" s="16"/>
      <c r="H28" s="17" t="str">
        <f t="shared" si="0"/>
        <v/>
      </c>
      <c r="I28" s="18" t="str">
        <f>IF(H28="","",ROUND(H28*Stocuri!G28,2))</f>
        <v/>
      </c>
      <c r="J28" s="6"/>
    </row>
    <row r="29" spans="2:10" x14ac:dyDescent="0.2">
      <c r="B29" s="11" t="str">
        <f>Stocuri!B29</f>
        <v/>
      </c>
      <c r="C29" s="10" t="str">
        <f>Stocuri!C29</f>
        <v/>
      </c>
      <c r="D29" s="11" t="str">
        <f>Stocuri!E29</f>
        <v/>
      </c>
      <c r="E29" s="11" t="str">
        <f>IF(B29="","",Produse!L29)</f>
        <v/>
      </c>
      <c r="F29" s="17" t="str">
        <f>Stocuri!F29</f>
        <v/>
      </c>
      <c r="G29" s="16"/>
      <c r="H29" s="17" t="str">
        <f t="shared" si="0"/>
        <v/>
      </c>
      <c r="I29" s="18" t="str">
        <f>IF(H29="","",ROUND(H29*Stocuri!G29,2))</f>
        <v/>
      </c>
      <c r="J29" s="6"/>
    </row>
    <row r="30" spans="2:10" x14ac:dyDescent="0.2">
      <c r="B30" s="11" t="str">
        <f>Stocuri!B30</f>
        <v/>
      </c>
      <c r="C30" s="10" t="str">
        <f>Stocuri!C30</f>
        <v/>
      </c>
      <c r="D30" s="11" t="str">
        <f>Stocuri!E30</f>
        <v/>
      </c>
      <c r="E30" s="11" t="str">
        <f>IF(B30="","",Produse!L30)</f>
        <v/>
      </c>
      <c r="F30" s="17" t="str">
        <f>Stocuri!F30</f>
        <v/>
      </c>
      <c r="G30" s="16"/>
      <c r="H30" s="17" t="str">
        <f t="shared" si="0"/>
        <v/>
      </c>
      <c r="I30" s="18" t="str">
        <f>IF(H30="","",ROUND(H30*Stocuri!G30,2))</f>
        <v/>
      </c>
      <c r="J30" s="6"/>
    </row>
    <row r="31" spans="2:10" x14ac:dyDescent="0.2">
      <c r="B31" s="11" t="str">
        <f>Stocuri!B31</f>
        <v/>
      </c>
      <c r="C31" s="10" t="str">
        <f>Stocuri!C31</f>
        <v/>
      </c>
      <c r="D31" s="11" t="str">
        <f>Stocuri!E31</f>
        <v/>
      </c>
      <c r="E31" s="11" t="str">
        <f>IF(B31="","",Produse!L31)</f>
        <v/>
      </c>
      <c r="F31" s="17" t="str">
        <f>Stocuri!F31</f>
        <v/>
      </c>
      <c r="G31" s="16"/>
      <c r="H31" s="17" t="str">
        <f t="shared" si="0"/>
        <v/>
      </c>
      <c r="I31" s="18" t="str">
        <f>IF(H31="","",ROUND(H31*Stocuri!G31,2))</f>
        <v/>
      </c>
      <c r="J31" s="6"/>
    </row>
    <row r="32" spans="2:10" x14ac:dyDescent="0.2">
      <c r="B32" s="11" t="str">
        <f>Stocuri!B32</f>
        <v/>
      </c>
      <c r="C32" s="10" t="str">
        <f>Stocuri!C32</f>
        <v/>
      </c>
      <c r="D32" s="11" t="str">
        <f>Stocuri!E32</f>
        <v/>
      </c>
      <c r="E32" s="11" t="str">
        <f>IF(B32="","",Produse!L32)</f>
        <v/>
      </c>
      <c r="F32" s="17" t="str">
        <f>Stocuri!F32</f>
        <v/>
      </c>
      <c r="G32" s="16"/>
      <c r="H32" s="17" t="str">
        <f t="shared" si="0"/>
        <v/>
      </c>
      <c r="I32" s="18" t="str">
        <f>IF(H32="","",ROUND(H32*Stocuri!G32,2))</f>
        <v/>
      </c>
      <c r="J32" s="6"/>
    </row>
    <row r="33" spans="2:10" x14ac:dyDescent="0.2">
      <c r="B33" s="11" t="str">
        <f>Stocuri!B33</f>
        <v/>
      </c>
      <c r="C33" s="10" t="str">
        <f>Stocuri!C33</f>
        <v/>
      </c>
      <c r="D33" s="11" t="str">
        <f>Stocuri!E33</f>
        <v/>
      </c>
      <c r="E33" s="11" t="str">
        <f>IF(B33="","",Produse!L33)</f>
        <v/>
      </c>
      <c r="F33" s="17" t="str">
        <f>Stocuri!F33</f>
        <v/>
      </c>
      <c r="G33" s="16"/>
      <c r="H33" s="17" t="str">
        <f t="shared" si="0"/>
        <v/>
      </c>
      <c r="I33" s="18" t="str">
        <f>IF(H33="","",ROUND(H33*Stocuri!G33,2))</f>
        <v/>
      </c>
      <c r="J33" s="6"/>
    </row>
    <row r="34" spans="2:10" x14ac:dyDescent="0.2">
      <c r="B34" s="11" t="str">
        <f>Stocuri!B34</f>
        <v/>
      </c>
      <c r="C34" s="10" t="str">
        <f>Stocuri!C34</f>
        <v/>
      </c>
      <c r="D34" s="11" t="str">
        <f>Stocuri!E34</f>
        <v/>
      </c>
      <c r="E34" s="11" t="str">
        <f>IF(B34="","",Produse!L34)</f>
        <v/>
      </c>
      <c r="F34" s="17" t="str">
        <f>Stocuri!F34</f>
        <v/>
      </c>
      <c r="G34" s="16"/>
      <c r="H34" s="17" t="str">
        <f t="shared" si="0"/>
        <v/>
      </c>
      <c r="I34" s="18" t="str">
        <f>IF(H34="","",ROUND(H34*Stocuri!G34,2))</f>
        <v/>
      </c>
      <c r="J34" s="6"/>
    </row>
    <row r="35" spans="2:10" x14ac:dyDescent="0.2">
      <c r="B35" s="11" t="str">
        <f>Stocuri!B35</f>
        <v/>
      </c>
      <c r="C35" s="10" t="str">
        <f>Stocuri!C35</f>
        <v/>
      </c>
      <c r="D35" s="11" t="str">
        <f>Stocuri!E35</f>
        <v/>
      </c>
      <c r="E35" s="11" t="str">
        <f>IF(B35="","",Produse!L35)</f>
        <v/>
      </c>
      <c r="F35" s="17" t="str">
        <f>Stocuri!F35</f>
        <v/>
      </c>
      <c r="G35" s="16"/>
      <c r="H35" s="17" t="str">
        <f t="shared" si="0"/>
        <v/>
      </c>
      <c r="I35" s="18" t="str">
        <f>IF(H35="","",ROUND(H35*Stocuri!G35,2))</f>
        <v/>
      </c>
      <c r="J35" s="6"/>
    </row>
    <row r="36" spans="2:10" x14ac:dyDescent="0.2">
      <c r="B36" s="11" t="str">
        <f>Stocuri!B36</f>
        <v/>
      </c>
      <c r="C36" s="10" t="str">
        <f>Stocuri!C36</f>
        <v/>
      </c>
      <c r="D36" s="11" t="str">
        <f>Stocuri!E36</f>
        <v/>
      </c>
      <c r="E36" s="11" t="str">
        <f>IF(B36="","",Produse!L36)</f>
        <v/>
      </c>
      <c r="F36" s="17" t="str">
        <f>Stocuri!F36</f>
        <v/>
      </c>
      <c r="G36" s="16"/>
      <c r="H36" s="17" t="str">
        <f t="shared" si="0"/>
        <v/>
      </c>
      <c r="I36" s="18" t="str">
        <f>IF(H36="","",ROUND(H36*Stocuri!G36,2))</f>
        <v/>
      </c>
      <c r="J36" s="6"/>
    </row>
    <row r="37" spans="2:10" x14ac:dyDescent="0.2">
      <c r="B37" s="11" t="str">
        <f>Stocuri!B37</f>
        <v/>
      </c>
      <c r="C37" s="10" t="str">
        <f>Stocuri!C37</f>
        <v/>
      </c>
      <c r="D37" s="11" t="str">
        <f>Stocuri!E37</f>
        <v/>
      </c>
      <c r="E37" s="11" t="str">
        <f>IF(B37="","",Produse!L37)</f>
        <v/>
      </c>
      <c r="F37" s="17" t="str">
        <f>Stocuri!F37</f>
        <v/>
      </c>
      <c r="G37" s="16"/>
      <c r="H37" s="17" t="str">
        <f t="shared" ref="H37:H68" si="1">IF(OR(B37="",G37=""),"",G37-F37)</f>
        <v/>
      </c>
      <c r="I37" s="18" t="str">
        <f>IF(H37="","",ROUND(H37*Stocuri!G37,2))</f>
        <v/>
      </c>
      <c r="J37" s="6"/>
    </row>
    <row r="38" spans="2:10" x14ac:dyDescent="0.2">
      <c r="B38" s="11" t="str">
        <f>Stocuri!B38</f>
        <v/>
      </c>
      <c r="C38" s="10" t="str">
        <f>Stocuri!C38</f>
        <v/>
      </c>
      <c r="D38" s="11" t="str">
        <f>Stocuri!E38</f>
        <v/>
      </c>
      <c r="E38" s="11" t="str">
        <f>IF(B38="","",Produse!L38)</f>
        <v/>
      </c>
      <c r="F38" s="17" t="str">
        <f>Stocuri!F38</f>
        <v/>
      </c>
      <c r="G38" s="16"/>
      <c r="H38" s="17" t="str">
        <f t="shared" si="1"/>
        <v/>
      </c>
      <c r="I38" s="18" t="str">
        <f>IF(H38="","",ROUND(H38*Stocuri!G38,2))</f>
        <v/>
      </c>
      <c r="J38" s="6"/>
    </row>
    <row r="39" spans="2:10" x14ac:dyDescent="0.2">
      <c r="B39" s="11" t="str">
        <f>Stocuri!B39</f>
        <v/>
      </c>
      <c r="C39" s="10" t="str">
        <f>Stocuri!C39</f>
        <v/>
      </c>
      <c r="D39" s="11" t="str">
        <f>Stocuri!E39</f>
        <v/>
      </c>
      <c r="E39" s="11" t="str">
        <f>IF(B39="","",Produse!L39)</f>
        <v/>
      </c>
      <c r="F39" s="17" t="str">
        <f>Stocuri!F39</f>
        <v/>
      </c>
      <c r="G39" s="16"/>
      <c r="H39" s="17" t="str">
        <f t="shared" si="1"/>
        <v/>
      </c>
      <c r="I39" s="18" t="str">
        <f>IF(H39="","",ROUND(H39*Stocuri!G39,2))</f>
        <v/>
      </c>
      <c r="J39" s="6"/>
    </row>
    <row r="40" spans="2:10" x14ac:dyDescent="0.2">
      <c r="B40" s="11" t="str">
        <f>Stocuri!B40</f>
        <v/>
      </c>
      <c r="C40" s="10" t="str">
        <f>Stocuri!C40</f>
        <v/>
      </c>
      <c r="D40" s="11" t="str">
        <f>Stocuri!E40</f>
        <v/>
      </c>
      <c r="E40" s="11" t="str">
        <f>IF(B40="","",Produse!L40)</f>
        <v/>
      </c>
      <c r="F40" s="17" t="str">
        <f>Stocuri!F40</f>
        <v/>
      </c>
      <c r="G40" s="16"/>
      <c r="H40" s="17" t="str">
        <f t="shared" si="1"/>
        <v/>
      </c>
      <c r="I40" s="18" t="str">
        <f>IF(H40="","",ROUND(H40*Stocuri!G40,2))</f>
        <v/>
      </c>
      <c r="J40" s="6"/>
    </row>
    <row r="41" spans="2:10" x14ac:dyDescent="0.2">
      <c r="B41" s="11" t="str">
        <f>Stocuri!B41</f>
        <v/>
      </c>
      <c r="C41" s="10" t="str">
        <f>Stocuri!C41</f>
        <v/>
      </c>
      <c r="D41" s="11" t="str">
        <f>Stocuri!E41</f>
        <v/>
      </c>
      <c r="E41" s="11" t="str">
        <f>IF(B41="","",Produse!L41)</f>
        <v/>
      </c>
      <c r="F41" s="17" t="str">
        <f>Stocuri!F41</f>
        <v/>
      </c>
      <c r="G41" s="16"/>
      <c r="H41" s="17" t="str">
        <f t="shared" si="1"/>
        <v/>
      </c>
      <c r="I41" s="18" t="str">
        <f>IF(H41="","",ROUND(H41*Stocuri!G41,2))</f>
        <v/>
      </c>
      <c r="J41" s="6"/>
    </row>
    <row r="42" spans="2:10" x14ac:dyDescent="0.2">
      <c r="B42" s="11" t="str">
        <f>Stocuri!B42</f>
        <v/>
      </c>
      <c r="C42" s="10" t="str">
        <f>Stocuri!C42</f>
        <v/>
      </c>
      <c r="D42" s="11" t="str">
        <f>Stocuri!E42</f>
        <v/>
      </c>
      <c r="E42" s="11" t="str">
        <f>IF(B42="","",Produse!L42)</f>
        <v/>
      </c>
      <c r="F42" s="17" t="str">
        <f>Stocuri!F42</f>
        <v/>
      </c>
      <c r="G42" s="16"/>
      <c r="H42" s="17" t="str">
        <f t="shared" si="1"/>
        <v/>
      </c>
      <c r="I42" s="18" t="str">
        <f>IF(H42="","",ROUND(H42*Stocuri!G42,2))</f>
        <v/>
      </c>
      <c r="J42" s="6"/>
    </row>
    <row r="43" spans="2:10" x14ac:dyDescent="0.2">
      <c r="B43" s="11" t="str">
        <f>Stocuri!B43</f>
        <v/>
      </c>
      <c r="C43" s="10" t="str">
        <f>Stocuri!C43</f>
        <v/>
      </c>
      <c r="D43" s="11" t="str">
        <f>Stocuri!E43</f>
        <v/>
      </c>
      <c r="E43" s="11" t="str">
        <f>IF(B43="","",Produse!L43)</f>
        <v/>
      </c>
      <c r="F43" s="17" t="str">
        <f>Stocuri!F43</f>
        <v/>
      </c>
      <c r="G43" s="16"/>
      <c r="H43" s="17" t="str">
        <f t="shared" si="1"/>
        <v/>
      </c>
      <c r="I43" s="18" t="str">
        <f>IF(H43="","",ROUND(H43*Stocuri!G43,2))</f>
        <v/>
      </c>
      <c r="J43" s="6"/>
    </row>
    <row r="44" spans="2:10" x14ac:dyDescent="0.2">
      <c r="B44" s="11" t="str">
        <f>Stocuri!B44</f>
        <v/>
      </c>
      <c r="C44" s="10" t="str">
        <f>Stocuri!C44</f>
        <v/>
      </c>
      <c r="D44" s="11" t="str">
        <f>Stocuri!E44</f>
        <v/>
      </c>
      <c r="E44" s="11" t="str">
        <f>IF(B44="","",Produse!L44)</f>
        <v/>
      </c>
      <c r="F44" s="17" t="str">
        <f>Stocuri!F44</f>
        <v/>
      </c>
      <c r="G44" s="16"/>
      <c r="H44" s="17" t="str">
        <f t="shared" si="1"/>
        <v/>
      </c>
      <c r="I44" s="18" t="str">
        <f>IF(H44="","",ROUND(H44*Stocuri!G44,2))</f>
        <v/>
      </c>
      <c r="J44" s="6"/>
    </row>
    <row r="45" spans="2:10" x14ac:dyDescent="0.2">
      <c r="B45" s="11" t="str">
        <f>Stocuri!B45</f>
        <v/>
      </c>
      <c r="C45" s="10" t="str">
        <f>Stocuri!C45</f>
        <v/>
      </c>
      <c r="D45" s="11" t="str">
        <f>Stocuri!E45</f>
        <v/>
      </c>
      <c r="E45" s="11" t="str">
        <f>IF(B45="","",Produse!L45)</f>
        <v/>
      </c>
      <c r="F45" s="17" t="str">
        <f>Stocuri!F45</f>
        <v/>
      </c>
      <c r="G45" s="16"/>
      <c r="H45" s="17" t="str">
        <f t="shared" si="1"/>
        <v/>
      </c>
      <c r="I45" s="18" t="str">
        <f>IF(H45="","",ROUND(H45*Stocuri!G45,2))</f>
        <v/>
      </c>
      <c r="J45" s="6"/>
    </row>
    <row r="46" spans="2:10" x14ac:dyDescent="0.2">
      <c r="B46" s="11" t="str">
        <f>Stocuri!B46</f>
        <v/>
      </c>
      <c r="C46" s="10" t="str">
        <f>Stocuri!C46</f>
        <v/>
      </c>
      <c r="D46" s="11" t="str">
        <f>Stocuri!E46</f>
        <v/>
      </c>
      <c r="E46" s="11" t="str">
        <f>IF(B46="","",Produse!L46)</f>
        <v/>
      </c>
      <c r="F46" s="17" t="str">
        <f>Stocuri!F46</f>
        <v/>
      </c>
      <c r="G46" s="16"/>
      <c r="H46" s="17" t="str">
        <f t="shared" si="1"/>
        <v/>
      </c>
      <c r="I46" s="18" t="str">
        <f>IF(H46="","",ROUND(H46*Stocuri!G46,2))</f>
        <v/>
      </c>
      <c r="J46" s="6"/>
    </row>
    <row r="47" spans="2:10" x14ac:dyDescent="0.2">
      <c r="B47" s="11" t="str">
        <f>Stocuri!B47</f>
        <v/>
      </c>
      <c r="C47" s="10" t="str">
        <f>Stocuri!C47</f>
        <v/>
      </c>
      <c r="D47" s="11" t="str">
        <f>Stocuri!E47</f>
        <v/>
      </c>
      <c r="E47" s="11" t="str">
        <f>IF(B47="","",Produse!L47)</f>
        <v/>
      </c>
      <c r="F47" s="17" t="str">
        <f>Stocuri!F47</f>
        <v/>
      </c>
      <c r="G47" s="16"/>
      <c r="H47" s="17" t="str">
        <f t="shared" si="1"/>
        <v/>
      </c>
      <c r="I47" s="18" t="str">
        <f>IF(H47="","",ROUND(H47*Stocuri!G47,2))</f>
        <v/>
      </c>
      <c r="J47" s="6"/>
    </row>
    <row r="48" spans="2:10" x14ac:dyDescent="0.2">
      <c r="B48" s="11" t="str">
        <f>Stocuri!B48</f>
        <v/>
      </c>
      <c r="C48" s="10" t="str">
        <f>Stocuri!C48</f>
        <v/>
      </c>
      <c r="D48" s="11" t="str">
        <f>Stocuri!E48</f>
        <v/>
      </c>
      <c r="E48" s="11" t="str">
        <f>IF(B48="","",Produse!L48)</f>
        <v/>
      </c>
      <c r="F48" s="17" t="str">
        <f>Stocuri!F48</f>
        <v/>
      </c>
      <c r="G48" s="16"/>
      <c r="H48" s="17" t="str">
        <f t="shared" si="1"/>
        <v/>
      </c>
      <c r="I48" s="18" t="str">
        <f>IF(H48="","",ROUND(H48*Stocuri!G48,2))</f>
        <v/>
      </c>
      <c r="J48" s="6"/>
    </row>
    <row r="49" spans="2:10" x14ac:dyDescent="0.2">
      <c r="B49" s="11" t="str">
        <f>Stocuri!B49</f>
        <v/>
      </c>
      <c r="C49" s="10" t="str">
        <f>Stocuri!C49</f>
        <v/>
      </c>
      <c r="D49" s="11" t="str">
        <f>Stocuri!E49</f>
        <v/>
      </c>
      <c r="E49" s="11" t="str">
        <f>IF(B49="","",Produse!L49)</f>
        <v/>
      </c>
      <c r="F49" s="17" t="str">
        <f>Stocuri!F49</f>
        <v/>
      </c>
      <c r="G49" s="16"/>
      <c r="H49" s="17" t="str">
        <f t="shared" si="1"/>
        <v/>
      </c>
      <c r="I49" s="18" t="str">
        <f>IF(H49="","",ROUND(H49*Stocuri!G49,2))</f>
        <v/>
      </c>
      <c r="J49" s="6"/>
    </row>
    <row r="50" spans="2:10" x14ac:dyDescent="0.2">
      <c r="B50" s="11" t="str">
        <f>Stocuri!B50</f>
        <v/>
      </c>
      <c r="C50" s="10" t="str">
        <f>Stocuri!C50</f>
        <v/>
      </c>
      <c r="D50" s="11" t="str">
        <f>Stocuri!E50</f>
        <v/>
      </c>
      <c r="E50" s="11" t="str">
        <f>IF(B50="","",Produse!L50)</f>
        <v/>
      </c>
      <c r="F50" s="17" t="str">
        <f>Stocuri!F50</f>
        <v/>
      </c>
      <c r="G50" s="16"/>
      <c r="H50" s="17" t="str">
        <f t="shared" si="1"/>
        <v/>
      </c>
      <c r="I50" s="18" t="str">
        <f>IF(H50="","",ROUND(H50*Stocuri!G50,2))</f>
        <v/>
      </c>
      <c r="J50" s="6"/>
    </row>
    <row r="51" spans="2:10" x14ac:dyDescent="0.2">
      <c r="B51" s="11" t="str">
        <f>Stocuri!B51</f>
        <v/>
      </c>
      <c r="C51" s="10" t="str">
        <f>Stocuri!C51</f>
        <v/>
      </c>
      <c r="D51" s="11" t="str">
        <f>Stocuri!E51</f>
        <v/>
      </c>
      <c r="E51" s="11" t="str">
        <f>IF(B51="","",Produse!L51)</f>
        <v/>
      </c>
      <c r="F51" s="17" t="str">
        <f>Stocuri!F51</f>
        <v/>
      </c>
      <c r="G51" s="16"/>
      <c r="H51" s="17" t="str">
        <f t="shared" si="1"/>
        <v/>
      </c>
      <c r="I51" s="18" t="str">
        <f>IF(H51="","",ROUND(H51*Stocuri!G51,2))</f>
        <v/>
      </c>
      <c r="J51" s="6"/>
    </row>
    <row r="52" spans="2:10" x14ac:dyDescent="0.2">
      <c r="B52" s="11" t="str">
        <f>Stocuri!B52</f>
        <v/>
      </c>
      <c r="C52" s="10" t="str">
        <f>Stocuri!C52</f>
        <v/>
      </c>
      <c r="D52" s="11" t="str">
        <f>Stocuri!E52</f>
        <v/>
      </c>
      <c r="E52" s="11" t="str">
        <f>IF(B52="","",Produse!L52)</f>
        <v/>
      </c>
      <c r="F52" s="17" t="str">
        <f>Stocuri!F52</f>
        <v/>
      </c>
      <c r="G52" s="16"/>
      <c r="H52" s="17" t="str">
        <f t="shared" si="1"/>
        <v/>
      </c>
      <c r="I52" s="18" t="str">
        <f>IF(H52="","",ROUND(H52*Stocuri!G52,2))</f>
        <v/>
      </c>
      <c r="J52" s="6"/>
    </row>
    <row r="53" spans="2:10" x14ac:dyDescent="0.2">
      <c r="B53" s="11" t="str">
        <f>Stocuri!B53</f>
        <v/>
      </c>
      <c r="C53" s="10" t="str">
        <f>Stocuri!C53</f>
        <v/>
      </c>
      <c r="D53" s="11" t="str">
        <f>Stocuri!E53</f>
        <v/>
      </c>
      <c r="E53" s="11" t="str">
        <f>IF(B53="","",Produse!L53)</f>
        <v/>
      </c>
      <c r="F53" s="17" t="str">
        <f>Stocuri!F53</f>
        <v/>
      </c>
      <c r="G53" s="16"/>
      <c r="H53" s="17" t="str">
        <f t="shared" si="1"/>
        <v/>
      </c>
      <c r="I53" s="18" t="str">
        <f>IF(H53="","",ROUND(H53*Stocuri!G53,2))</f>
        <v/>
      </c>
      <c r="J53" s="6"/>
    </row>
    <row r="54" spans="2:10" x14ac:dyDescent="0.2">
      <c r="B54" s="11" t="str">
        <f>Stocuri!B54</f>
        <v/>
      </c>
      <c r="C54" s="10" t="str">
        <f>Stocuri!C54</f>
        <v/>
      </c>
      <c r="D54" s="11" t="str">
        <f>Stocuri!E54</f>
        <v/>
      </c>
      <c r="E54" s="11" t="str">
        <f>IF(B54="","",Produse!L54)</f>
        <v/>
      </c>
      <c r="F54" s="17" t="str">
        <f>Stocuri!F54</f>
        <v/>
      </c>
      <c r="G54" s="16"/>
      <c r="H54" s="17" t="str">
        <f t="shared" si="1"/>
        <v/>
      </c>
      <c r="I54" s="18" t="str">
        <f>IF(H54="","",ROUND(H54*Stocuri!G54,2))</f>
        <v/>
      </c>
      <c r="J54" s="6"/>
    </row>
    <row r="55" spans="2:10" x14ac:dyDescent="0.2">
      <c r="B55" s="11" t="str">
        <f>Stocuri!B55</f>
        <v/>
      </c>
      <c r="C55" s="10" t="str">
        <f>Stocuri!C55</f>
        <v/>
      </c>
      <c r="D55" s="11" t="str">
        <f>Stocuri!E55</f>
        <v/>
      </c>
      <c r="E55" s="11" t="str">
        <f>IF(B55="","",Produse!L55)</f>
        <v/>
      </c>
      <c r="F55" s="17" t="str">
        <f>Stocuri!F55</f>
        <v/>
      </c>
      <c r="G55" s="16"/>
      <c r="H55" s="17" t="str">
        <f t="shared" si="1"/>
        <v/>
      </c>
      <c r="I55" s="18" t="str">
        <f>IF(H55="","",ROUND(H55*Stocuri!G55,2))</f>
        <v/>
      </c>
      <c r="J55" s="6"/>
    </row>
    <row r="56" spans="2:10" x14ac:dyDescent="0.2">
      <c r="B56" s="11" t="str">
        <f>Stocuri!B56</f>
        <v/>
      </c>
      <c r="C56" s="10" t="str">
        <f>Stocuri!C56</f>
        <v/>
      </c>
      <c r="D56" s="11" t="str">
        <f>Stocuri!E56</f>
        <v/>
      </c>
      <c r="E56" s="11" t="str">
        <f>IF(B56="","",Produse!L56)</f>
        <v/>
      </c>
      <c r="F56" s="17" t="str">
        <f>Stocuri!F56</f>
        <v/>
      </c>
      <c r="G56" s="16"/>
      <c r="H56" s="17" t="str">
        <f t="shared" si="1"/>
        <v/>
      </c>
      <c r="I56" s="18" t="str">
        <f>IF(H56="","",ROUND(H56*Stocuri!G56,2))</f>
        <v/>
      </c>
      <c r="J56" s="6"/>
    </row>
    <row r="57" spans="2:10" x14ac:dyDescent="0.2">
      <c r="B57" s="11" t="str">
        <f>Stocuri!B57</f>
        <v/>
      </c>
      <c r="C57" s="10" t="str">
        <f>Stocuri!C57</f>
        <v/>
      </c>
      <c r="D57" s="11" t="str">
        <f>Stocuri!E57</f>
        <v/>
      </c>
      <c r="E57" s="11" t="str">
        <f>IF(B57="","",Produse!L57)</f>
        <v/>
      </c>
      <c r="F57" s="17" t="str">
        <f>Stocuri!F57</f>
        <v/>
      </c>
      <c r="G57" s="16"/>
      <c r="H57" s="17" t="str">
        <f t="shared" si="1"/>
        <v/>
      </c>
      <c r="I57" s="18" t="str">
        <f>IF(H57="","",ROUND(H57*Stocuri!G57,2))</f>
        <v/>
      </c>
      <c r="J57" s="6"/>
    </row>
    <row r="58" spans="2:10" x14ac:dyDescent="0.2">
      <c r="B58" s="11" t="str">
        <f>Stocuri!B58</f>
        <v/>
      </c>
      <c r="C58" s="10" t="str">
        <f>Stocuri!C58</f>
        <v/>
      </c>
      <c r="D58" s="11" t="str">
        <f>Stocuri!E58</f>
        <v/>
      </c>
      <c r="E58" s="11" t="str">
        <f>IF(B58="","",Produse!L58)</f>
        <v/>
      </c>
      <c r="F58" s="17" t="str">
        <f>Stocuri!F58</f>
        <v/>
      </c>
      <c r="G58" s="16"/>
      <c r="H58" s="17" t="str">
        <f t="shared" si="1"/>
        <v/>
      </c>
      <c r="I58" s="18" t="str">
        <f>IF(H58="","",ROUND(H58*Stocuri!G58,2))</f>
        <v/>
      </c>
      <c r="J58" s="6"/>
    </row>
    <row r="59" spans="2:10" x14ac:dyDescent="0.2">
      <c r="B59" s="11" t="str">
        <f>Stocuri!B59</f>
        <v/>
      </c>
      <c r="C59" s="10" t="str">
        <f>Stocuri!C59</f>
        <v/>
      </c>
      <c r="D59" s="11" t="str">
        <f>Stocuri!E59</f>
        <v/>
      </c>
      <c r="E59" s="11" t="str">
        <f>IF(B59="","",Produse!L59)</f>
        <v/>
      </c>
      <c r="F59" s="17" t="str">
        <f>Stocuri!F59</f>
        <v/>
      </c>
      <c r="G59" s="16"/>
      <c r="H59" s="17" t="str">
        <f t="shared" si="1"/>
        <v/>
      </c>
      <c r="I59" s="18" t="str">
        <f>IF(H59="","",ROUND(H59*Stocuri!G59,2))</f>
        <v/>
      </c>
      <c r="J59" s="6"/>
    </row>
    <row r="60" spans="2:10" x14ac:dyDescent="0.2">
      <c r="B60" s="11" t="str">
        <f>Stocuri!B60</f>
        <v/>
      </c>
      <c r="C60" s="10" t="str">
        <f>Stocuri!C60</f>
        <v/>
      </c>
      <c r="D60" s="11" t="str">
        <f>Stocuri!E60</f>
        <v/>
      </c>
      <c r="E60" s="11" t="str">
        <f>IF(B60="","",Produse!L60)</f>
        <v/>
      </c>
      <c r="F60" s="17" t="str">
        <f>Stocuri!F60</f>
        <v/>
      </c>
      <c r="G60" s="16"/>
      <c r="H60" s="17" t="str">
        <f t="shared" si="1"/>
        <v/>
      </c>
      <c r="I60" s="18" t="str">
        <f>IF(H60="","",ROUND(H60*Stocuri!G60,2))</f>
        <v/>
      </c>
      <c r="J60" s="6"/>
    </row>
    <row r="61" spans="2:10" x14ac:dyDescent="0.2">
      <c r="B61" s="11" t="str">
        <f>Stocuri!B61</f>
        <v/>
      </c>
      <c r="C61" s="10" t="str">
        <f>Stocuri!C61</f>
        <v/>
      </c>
      <c r="D61" s="11" t="str">
        <f>Stocuri!E61</f>
        <v/>
      </c>
      <c r="E61" s="11" t="str">
        <f>IF(B61="","",Produse!L61)</f>
        <v/>
      </c>
      <c r="F61" s="17" t="str">
        <f>Stocuri!F61</f>
        <v/>
      </c>
      <c r="G61" s="16"/>
      <c r="H61" s="17" t="str">
        <f t="shared" si="1"/>
        <v/>
      </c>
      <c r="I61" s="18" t="str">
        <f>IF(H61="","",ROUND(H61*Stocuri!G61,2))</f>
        <v/>
      </c>
      <c r="J61" s="6"/>
    </row>
    <row r="62" spans="2:10" x14ac:dyDescent="0.2">
      <c r="B62" s="11" t="str">
        <f>Stocuri!B62</f>
        <v/>
      </c>
      <c r="C62" s="10" t="str">
        <f>Stocuri!C62</f>
        <v/>
      </c>
      <c r="D62" s="11" t="str">
        <f>Stocuri!E62</f>
        <v/>
      </c>
      <c r="E62" s="11" t="str">
        <f>IF(B62="","",Produse!L62)</f>
        <v/>
      </c>
      <c r="F62" s="17" t="str">
        <f>Stocuri!F62</f>
        <v/>
      </c>
      <c r="G62" s="16"/>
      <c r="H62" s="17" t="str">
        <f t="shared" si="1"/>
        <v/>
      </c>
      <c r="I62" s="18" t="str">
        <f>IF(H62="","",ROUND(H62*Stocuri!G62,2))</f>
        <v/>
      </c>
      <c r="J62" s="6"/>
    </row>
    <row r="63" spans="2:10" x14ac:dyDescent="0.2">
      <c r="B63" s="11" t="str">
        <f>Stocuri!B63</f>
        <v/>
      </c>
      <c r="C63" s="10" t="str">
        <f>Stocuri!C63</f>
        <v/>
      </c>
      <c r="D63" s="11" t="str">
        <f>Stocuri!E63</f>
        <v/>
      </c>
      <c r="E63" s="11" t="str">
        <f>IF(B63="","",Produse!L63)</f>
        <v/>
      </c>
      <c r="F63" s="17" t="str">
        <f>Stocuri!F63</f>
        <v/>
      </c>
      <c r="G63" s="16"/>
      <c r="H63" s="17" t="str">
        <f t="shared" si="1"/>
        <v/>
      </c>
      <c r="I63" s="18" t="str">
        <f>IF(H63="","",ROUND(H63*Stocuri!G63,2))</f>
        <v/>
      </c>
      <c r="J63" s="6"/>
    </row>
    <row r="64" spans="2:10" x14ac:dyDescent="0.2">
      <c r="B64" s="11" t="str">
        <f>Stocuri!B64</f>
        <v/>
      </c>
      <c r="C64" s="10" t="str">
        <f>Stocuri!C64</f>
        <v/>
      </c>
      <c r="D64" s="11" t="str">
        <f>Stocuri!E64</f>
        <v/>
      </c>
      <c r="E64" s="11" t="str">
        <f>IF(B64="","",Produse!L64)</f>
        <v/>
      </c>
      <c r="F64" s="17" t="str">
        <f>Stocuri!F64</f>
        <v/>
      </c>
      <c r="G64" s="16"/>
      <c r="H64" s="17" t="str">
        <f t="shared" si="1"/>
        <v/>
      </c>
      <c r="I64" s="18" t="str">
        <f>IF(H64="","",ROUND(H64*Stocuri!G64,2))</f>
        <v/>
      </c>
      <c r="J64" s="6"/>
    </row>
    <row r="65" spans="2:10" x14ac:dyDescent="0.2">
      <c r="B65" s="11" t="str">
        <f>Stocuri!B65</f>
        <v/>
      </c>
      <c r="C65" s="10" t="str">
        <f>Stocuri!C65</f>
        <v/>
      </c>
      <c r="D65" s="11" t="str">
        <f>Stocuri!E65</f>
        <v/>
      </c>
      <c r="E65" s="11" t="str">
        <f>IF(B65="","",Produse!L65)</f>
        <v/>
      </c>
      <c r="F65" s="17" t="str">
        <f>Stocuri!F65</f>
        <v/>
      </c>
      <c r="G65" s="16"/>
      <c r="H65" s="17" t="str">
        <f t="shared" si="1"/>
        <v/>
      </c>
      <c r="I65" s="18" t="str">
        <f>IF(H65="","",ROUND(H65*Stocuri!G65,2))</f>
        <v/>
      </c>
      <c r="J65" s="6"/>
    </row>
    <row r="66" spans="2:10" x14ac:dyDescent="0.2">
      <c r="B66" s="11" t="str">
        <f>Stocuri!B66</f>
        <v/>
      </c>
      <c r="C66" s="10" t="str">
        <f>Stocuri!C66</f>
        <v/>
      </c>
      <c r="D66" s="11" t="str">
        <f>Stocuri!E66</f>
        <v/>
      </c>
      <c r="E66" s="11" t="str">
        <f>IF(B66="","",Produse!L66)</f>
        <v/>
      </c>
      <c r="F66" s="17" t="str">
        <f>Stocuri!F66</f>
        <v/>
      </c>
      <c r="G66" s="16"/>
      <c r="H66" s="17" t="str">
        <f t="shared" si="1"/>
        <v/>
      </c>
      <c r="I66" s="18" t="str">
        <f>IF(H66="","",ROUND(H66*Stocuri!G66,2))</f>
        <v/>
      </c>
      <c r="J66" s="6"/>
    </row>
    <row r="67" spans="2:10" x14ac:dyDescent="0.2">
      <c r="B67" s="11" t="str">
        <f>Stocuri!B67</f>
        <v/>
      </c>
      <c r="C67" s="10" t="str">
        <f>Stocuri!C67</f>
        <v/>
      </c>
      <c r="D67" s="11" t="str">
        <f>Stocuri!E67</f>
        <v/>
      </c>
      <c r="E67" s="11" t="str">
        <f>IF(B67="","",Produse!L67)</f>
        <v/>
      </c>
      <c r="F67" s="17" t="str">
        <f>Stocuri!F67</f>
        <v/>
      </c>
      <c r="G67" s="16"/>
      <c r="H67" s="17" t="str">
        <f t="shared" si="1"/>
        <v/>
      </c>
      <c r="I67" s="18" t="str">
        <f>IF(H67="","",ROUND(H67*Stocuri!G67,2))</f>
        <v/>
      </c>
      <c r="J67" s="6"/>
    </row>
    <row r="68" spans="2:10" x14ac:dyDescent="0.2">
      <c r="B68" s="11" t="str">
        <f>Stocuri!B68</f>
        <v/>
      </c>
      <c r="C68" s="10" t="str">
        <f>Stocuri!C68</f>
        <v/>
      </c>
      <c r="D68" s="11" t="str">
        <f>Stocuri!E68</f>
        <v/>
      </c>
      <c r="E68" s="11" t="str">
        <f>IF(B68="","",Produse!L68)</f>
        <v/>
      </c>
      <c r="F68" s="17" t="str">
        <f>Stocuri!F68</f>
        <v/>
      </c>
      <c r="G68" s="16"/>
      <c r="H68" s="17" t="str">
        <f t="shared" si="1"/>
        <v/>
      </c>
      <c r="I68" s="18" t="str">
        <f>IF(H68="","",ROUND(H68*Stocuri!G68,2))</f>
        <v/>
      </c>
      <c r="J68" s="6"/>
    </row>
    <row r="69" spans="2:10" x14ac:dyDescent="0.2">
      <c r="B69" s="11" t="str">
        <f>Stocuri!B69</f>
        <v/>
      </c>
      <c r="C69" s="10" t="str">
        <f>Stocuri!C69</f>
        <v/>
      </c>
      <c r="D69" s="11" t="str">
        <f>Stocuri!E69</f>
        <v/>
      </c>
      <c r="E69" s="11" t="str">
        <f>IF(B69="","",Produse!L69)</f>
        <v/>
      </c>
      <c r="F69" s="17" t="str">
        <f>Stocuri!F69</f>
        <v/>
      </c>
      <c r="G69" s="16"/>
      <c r="H69" s="17" t="str">
        <f t="shared" ref="H69:H100" si="2">IF(OR(B69="",G69=""),"",G69-F69)</f>
        <v/>
      </c>
      <c r="I69" s="18" t="str">
        <f>IF(H69="","",ROUND(H69*Stocuri!G69,2))</f>
        <v/>
      </c>
      <c r="J69" s="6"/>
    </row>
    <row r="70" spans="2:10" x14ac:dyDescent="0.2">
      <c r="B70" s="11" t="str">
        <f>Stocuri!B70</f>
        <v/>
      </c>
      <c r="C70" s="10" t="str">
        <f>Stocuri!C70</f>
        <v/>
      </c>
      <c r="D70" s="11" t="str">
        <f>Stocuri!E70</f>
        <v/>
      </c>
      <c r="E70" s="11" t="str">
        <f>IF(B70="","",Produse!L70)</f>
        <v/>
      </c>
      <c r="F70" s="17" t="str">
        <f>Stocuri!F70</f>
        <v/>
      </c>
      <c r="G70" s="16"/>
      <c r="H70" s="17" t="str">
        <f t="shared" si="2"/>
        <v/>
      </c>
      <c r="I70" s="18" t="str">
        <f>IF(H70="","",ROUND(H70*Stocuri!G70,2))</f>
        <v/>
      </c>
      <c r="J70" s="6"/>
    </row>
    <row r="71" spans="2:10" x14ac:dyDescent="0.2">
      <c r="B71" s="11" t="str">
        <f>Stocuri!B71</f>
        <v/>
      </c>
      <c r="C71" s="10" t="str">
        <f>Stocuri!C71</f>
        <v/>
      </c>
      <c r="D71" s="11" t="str">
        <f>Stocuri!E71</f>
        <v/>
      </c>
      <c r="E71" s="11" t="str">
        <f>IF(B71="","",Produse!L71)</f>
        <v/>
      </c>
      <c r="F71" s="17" t="str">
        <f>Stocuri!F71</f>
        <v/>
      </c>
      <c r="G71" s="16"/>
      <c r="H71" s="17" t="str">
        <f t="shared" si="2"/>
        <v/>
      </c>
      <c r="I71" s="18" t="str">
        <f>IF(H71="","",ROUND(H71*Stocuri!G71,2))</f>
        <v/>
      </c>
      <c r="J71" s="6"/>
    </row>
    <row r="72" spans="2:10" x14ac:dyDescent="0.2">
      <c r="B72" s="11" t="str">
        <f>Stocuri!B72</f>
        <v/>
      </c>
      <c r="C72" s="10" t="str">
        <f>Stocuri!C72</f>
        <v/>
      </c>
      <c r="D72" s="11" t="str">
        <f>Stocuri!E72</f>
        <v/>
      </c>
      <c r="E72" s="11" t="str">
        <f>IF(B72="","",Produse!L72)</f>
        <v/>
      </c>
      <c r="F72" s="17" t="str">
        <f>Stocuri!F72</f>
        <v/>
      </c>
      <c r="G72" s="16"/>
      <c r="H72" s="17" t="str">
        <f t="shared" si="2"/>
        <v/>
      </c>
      <c r="I72" s="18" t="str">
        <f>IF(H72="","",ROUND(H72*Stocuri!G72,2))</f>
        <v/>
      </c>
      <c r="J72" s="6"/>
    </row>
    <row r="73" spans="2:10" x14ac:dyDescent="0.2">
      <c r="B73" s="11" t="str">
        <f>Stocuri!B73</f>
        <v/>
      </c>
      <c r="C73" s="10" t="str">
        <f>Stocuri!C73</f>
        <v/>
      </c>
      <c r="D73" s="11" t="str">
        <f>Stocuri!E73</f>
        <v/>
      </c>
      <c r="E73" s="11" t="str">
        <f>IF(B73="","",Produse!L73)</f>
        <v/>
      </c>
      <c r="F73" s="17" t="str">
        <f>Stocuri!F73</f>
        <v/>
      </c>
      <c r="G73" s="16"/>
      <c r="H73" s="17" t="str">
        <f t="shared" si="2"/>
        <v/>
      </c>
      <c r="I73" s="18" t="str">
        <f>IF(H73="","",ROUND(H73*Stocuri!G73,2))</f>
        <v/>
      </c>
      <c r="J73" s="6"/>
    </row>
    <row r="74" spans="2:10" x14ac:dyDescent="0.2">
      <c r="B74" s="11" t="str">
        <f>Stocuri!B74</f>
        <v/>
      </c>
      <c r="C74" s="10" t="str">
        <f>Stocuri!C74</f>
        <v/>
      </c>
      <c r="D74" s="11" t="str">
        <f>Stocuri!E74</f>
        <v/>
      </c>
      <c r="E74" s="11" t="str">
        <f>IF(B74="","",Produse!L74)</f>
        <v/>
      </c>
      <c r="F74" s="17" t="str">
        <f>Stocuri!F74</f>
        <v/>
      </c>
      <c r="G74" s="16"/>
      <c r="H74" s="17" t="str">
        <f t="shared" si="2"/>
        <v/>
      </c>
      <c r="I74" s="18" t="str">
        <f>IF(H74="","",ROUND(H74*Stocuri!G74,2))</f>
        <v/>
      </c>
      <c r="J74" s="6"/>
    </row>
    <row r="75" spans="2:10" x14ac:dyDescent="0.2">
      <c r="B75" s="11" t="str">
        <f>Stocuri!B75</f>
        <v/>
      </c>
      <c r="C75" s="10" t="str">
        <f>Stocuri!C75</f>
        <v/>
      </c>
      <c r="D75" s="11" t="str">
        <f>Stocuri!E75</f>
        <v/>
      </c>
      <c r="E75" s="11" t="str">
        <f>IF(B75="","",Produse!L75)</f>
        <v/>
      </c>
      <c r="F75" s="17" t="str">
        <f>Stocuri!F75</f>
        <v/>
      </c>
      <c r="G75" s="16"/>
      <c r="H75" s="17" t="str">
        <f t="shared" si="2"/>
        <v/>
      </c>
      <c r="I75" s="18" t="str">
        <f>IF(H75="","",ROUND(H75*Stocuri!G75,2))</f>
        <v/>
      </c>
      <c r="J75" s="6"/>
    </row>
    <row r="76" spans="2:10" x14ac:dyDescent="0.2">
      <c r="B76" s="11" t="str">
        <f>Stocuri!B76</f>
        <v/>
      </c>
      <c r="C76" s="10" t="str">
        <f>Stocuri!C76</f>
        <v/>
      </c>
      <c r="D76" s="11" t="str">
        <f>Stocuri!E76</f>
        <v/>
      </c>
      <c r="E76" s="11" t="str">
        <f>IF(B76="","",Produse!L76)</f>
        <v/>
      </c>
      <c r="F76" s="17" t="str">
        <f>Stocuri!F76</f>
        <v/>
      </c>
      <c r="G76" s="16"/>
      <c r="H76" s="17" t="str">
        <f t="shared" si="2"/>
        <v/>
      </c>
      <c r="I76" s="18" t="str">
        <f>IF(H76="","",ROUND(H76*Stocuri!G76,2))</f>
        <v/>
      </c>
      <c r="J76" s="6"/>
    </row>
    <row r="77" spans="2:10" x14ac:dyDescent="0.2">
      <c r="B77" s="11" t="str">
        <f>Stocuri!B77</f>
        <v/>
      </c>
      <c r="C77" s="10" t="str">
        <f>Stocuri!C77</f>
        <v/>
      </c>
      <c r="D77" s="11" t="str">
        <f>Stocuri!E77</f>
        <v/>
      </c>
      <c r="E77" s="11" t="str">
        <f>IF(B77="","",Produse!L77)</f>
        <v/>
      </c>
      <c r="F77" s="17" t="str">
        <f>Stocuri!F77</f>
        <v/>
      </c>
      <c r="G77" s="16"/>
      <c r="H77" s="17" t="str">
        <f t="shared" si="2"/>
        <v/>
      </c>
      <c r="I77" s="18" t="str">
        <f>IF(H77="","",ROUND(H77*Stocuri!G77,2))</f>
        <v/>
      </c>
      <c r="J77" s="6"/>
    </row>
    <row r="78" spans="2:10" x14ac:dyDescent="0.2">
      <c r="B78" s="11" t="str">
        <f>Stocuri!B78</f>
        <v/>
      </c>
      <c r="C78" s="10" t="str">
        <f>Stocuri!C78</f>
        <v/>
      </c>
      <c r="D78" s="11" t="str">
        <f>Stocuri!E78</f>
        <v/>
      </c>
      <c r="E78" s="11" t="str">
        <f>IF(B78="","",Produse!L78)</f>
        <v/>
      </c>
      <c r="F78" s="17" t="str">
        <f>Stocuri!F78</f>
        <v/>
      </c>
      <c r="G78" s="16"/>
      <c r="H78" s="17" t="str">
        <f t="shared" si="2"/>
        <v/>
      </c>
      <c r="I78" s="18" t="str">
        <f>IF(H78="","",ROUND(H78*Stocuri!G78,2))</f>
        <v/>
      </c>
      <c r="J78" s="6"/>
    </row>
    <row r="79" spans="2:10" x14ac:dyDescent="0.2">
      <c r="B79" s="11" t="str">
        <f>Stocuri!B79</f>
        <v/>
      </c>
      <c r="C79" s="10" t="str">
        <f>Stocuri!C79</f>
        <v/>
      </c>
      <c r="D79" s="11" t="str">
        <f>Stocuri!E79</f>
        <v/>
      </c>
      <c r="E79" s="11" t="str">
        <f>IF(B79="","",Produse!L79)</f>
        <v/>
      </c>
      <c r="F79" s="17" t="str">
        <f>Stocuri!F79</f>
        <v/>
      </c>
      <c r="G79" s="16"/>
      <c r="H79" s="17" t="str">
        <f t="shared" si="2"/>
        <v/>
      </c>
      <c r="I79" s="18" t="str">
        <f>IF(H79="","",ROUND(H79*Stocuri!G79,2))</f>
        <v/>
      </c>
      <c r="J79" s="6"/>
    </row>
    <row r="80" spans="2:10" x14ac:dyDescent="0.2">
      <c r="B80" s="11" t="str">
        <f>Stocuri!B80</f>
        <v/>
      </c>
      <c r="C80" s="10" t="str">
        <f>Stocuri!C80</f>
        <v/>
      </c>
      <c r="D80" s="11" t="str">
        <f>Stocuri!E80</f>
        <v/>
      </c>
      <c r="E80" s="11" t="str">
        <f>IF(B80="","",Produse!L80)</f>
        <v/>
      </c>
      <c r="F80" s="17" t="str">
        <f>Stocuri!F80</f>
        <v/>
      </c>
      <c r="G80" s="16"/>
      <c r="H80" s="17" t="str">
        <f t="shared" si="2"/>
        <v/>
      </c>
      <c r="I80" s="18" t="str">
        <f>IF(H80="","",ROUND(H80*Stocuri!G80,2))</f>
        <v/>
      </c>
      <c r="J80" s="6"/>
    </row>
    <row r="81" spans="2:10" x14ac:dyDescent="0.2">
      <c r="B81" s="11" t="str">
        <f>Stocuri!B81</f>
        <v/>
      </c>
      <c r="C81" s="10" t="str">
        <f>Stocuri!C81</f>
        <v/>
      </c>
      <c r="D81" s="11" t="str">
        <f>Stocuri!E81</f>
        <v/>
      </c>
      <c r="E81" s="11" t="str">
        <f>IF(B81="","",Produse!L81)</f>
        <v/>
      </c>
      <c r="F81" s="17" t="str">
        <f>Stocuri!F81</f>
        <v/>
      </c>
      <c r="G81" s="16"/>
      <c r="H81" s="17" t="str">
        <f t="shared" si="2"/>
        <v/>
      </c>
      <c r="I81" s="18" t="str">
        <f>IF(H81="","",ROUND(H81*Stocuri!G81,2))</f>
        <v/>
      </c>
      <c r="J81" s="6"/>
    </row>
    <row r="82" spans="2:10" x14ac:dyDescent="0.2">
      <c r="B82" s="11" t="str">
        <f>Stocuri!B82</f>
        <v/>
      </c>
      <c r="C82" s="10" t="str">
        <f>Stocuri!C82</f>
        <v/>
      </c>
      <c r="D82" s="11" t="str">
        <f>Stocuri!E82</f>
        <v/>
      </c>
      <c r="E82" s="11" t="str">
        <f>IF(B82="","",Produse!L82)</f>
        <v/>
      </c>
      <c r="F82" s="17" t="str">
        <f>Stocuri!F82</f>
        <v/>
      </c>
      <c r="G82" s="16"/>
      <c r="H82" s="17" t="str">
        <f t="shared" si="2"/>
        <v/>
      </c>
      <c r="I82" s="18" t="str">
        <f>IF(H82="","",ROUND(H82*Stocuri!G82,2))</f>
        <v/>
      </c>
      <c r="J82" s="6"/>
    </row>
    <row r="83" spans="2:10" x14ac:dyDescent="0.2">
      <c r="B83" s="11" t="str">
        <f>Stocuri!B83</f>
        <v/>
      </c>
      <c r="C83" s="10" t="str">
        <f>Stocuri!C83</f>
        <v/>
      </c>
      <c r="D83" s="11" t="str">
        <f>Stocuri!E83</f>
        <v/>
      </c>
      <c r="E83" s="11" t="str">
        <f>IF(B83="","",Produse!L83)</f>
        <v/>
      </c>
      <c r="F83" s="17" t="str">
        <f>Stocuri!F83</f>
        <v/>
      </c>
      <c r="G83" s="16"/>
      <c r="H83" s="17" t="str">
        <f t="shared" si="2"/>
        <v/>
      </c>
      <c r="I83" s="18" t="str">
        <f>IF(H83="","",ROUND(H83*Stocuri!G83,2))</f>
        <v/>
      </c>
      <c r="J83" s="6"/>
    </row>
    <row r="84" spans="2:10" x14ac:dyDescent="0.2">
      <c r="B84" s="11" t="str">
        <f>Stocuri!B84</f>
        <v/>
      </c>
      <c r="C84" s="10" t="str">
        <f>Stocuri!C84</f>
        <v/>
      </c>
      <c r="D84" s="11" t="str">
        <f>Stocuri!E84</f>
        <v/>
      </c>
      <c r="E84" s="11" t="str">
        <f>IF(B84="","",Produse!L84)</f>
        <v/>
      </c>
      <c r="F84" s="17" t="str">
        <f>Stocuri!F84</f>
        <v/>
      </c>
      <c r="G84" s="16"/>
      <c r="H84" s="17" t="str">
        <f t="shared" si="2"/>
        <v/>
      </c>
      <c r="I84" s="18" t="str">
        <f>IF(H84="","",ROUND(H84*Stocuri!G84,2))</f>
        <v/>
      </c>
      <c r="J84" s="6"/>
    </row>
    <row r="85" spans="2:10" x14ac:dyDescent="0.2">
      <c r="B85" s="11" t="str">
        <f>Stocuri!B85</f>
        <v/>
      </c>
      <c r="C85" s="10" t="str">
        <f>Stocuri!C85</f>
        <v/>
      </c>
      <c r="D85" s="11" t="str">
        <f>Stocuri!E85</f>
        <v/>
      </c>
      <c r="E85" s="11" t="str">
        <f>IF(B85="","",Produse!L85)</f>
        <v/>
      </c>
      <c r="F85" s="17" t="str">
        <f>Stocuri!F85</f>
        <v/>
      </c>
      <c r="G85" s="16"/>
      <c r="H85" s="17" t="str">
        <f t="shared" si="2"/>
        <v/>
      </c>
      <c r="I85" s="18" t="str">
        <f>IF(H85="","",ROUND(H85*Stocuri!G85,2))</f>
        <v/>
      </c>
      <c r="J85" s="6"/>
    </row>
    <row r="86" spans="2:10" x14ac:dyDescent="0.2">
      <c r="B86" s="11" t="str">
        <f>Stocuri!B86</f>
        <v/>
      </c>
      <c r="C86" s="10" t="str">
        <f>Stocuri!C86</f>
        <v/>
      </c>
      <c r="D86" s="11" t="str">
        <f>Stocuri!E86</f>
        <v/>
      </c>
      <c r="E86" s="11" t="str">
        <f>IF(B86="","",Produse!L86)</f>
        <v/>
      </c>
      <c r="F86" s="17" t="str">
        <f>Stocuri!F86</f>
        <v/>
      </c>
      <c r="G86" s="16"/>
      <c r="H86" s="17" t="str">
        <f t="shared" si="2"/>
        <v/>
      </c>
      <c r="I86" s="18" t="str">
        <f>IF(H86="","",ROUND(H86*Stocuri!G86,2))</f>
        <v/>
      </c>
      <c r="J86" s="6"/>
    </row>
    <row r="87" spans="2:10" x14ac:dyDescent="0.2">
      <c r="B87" s="11" t="str">
        <f>Stocuri!B87</f>
        <v/>
      </c>
      <c r="C87" s="10" t="str">
        <f>Stocuri!C87</f>
        <v/>
      </c>
      <c r="D87" s="11" t="str">
        <f>Stocuri!E87</f>
        <v/>
      </c>
      <c r="E87" s="11" t="str">
        <f>IF(B87="","",Produse!L87)</f>
        <v/>
      </c>
      <c r="F87" s="17" t="str">
        <f>Stocuri!F87</f>
        <v/>
      </c>
      <c r="G87" s="16"/>
      <c r="H87" s="17" t="str">
        <f t="shared" si="2"/>
        <v/>
      </c>
      <c r="I87" s="18" t="str">
        <f>IF(H87="","",ROUND(H87*Stocuri!G87,2))</f>
        <v/>
      </c>
      <c r="J87" s="6"/>
    </row>
    <row r="88" spans="2:10" x14ac:dyDescent="0.2">
      <c r="B88" s="11" t="str">
        <f>Stocuri!B88</f>
        <v/>
      </c>
      <c r="C88" s="10" t="str">
        <f>Stocuri!C88</f>
        <v/>
      </c>
      <c r="D88" s="11" t="str">
        <f>Stocuri!E88</f>
        <v/>
      </c>
      <c r="E88" s="11" t="str">
        <f>IF(B88="","",Produse!L88)</f>
        <v/>
      </c>
      <c r="F88" s="17" t="str">
        <f>Stocuri!F88</f>
        <v/>
      </c>
      <c r="G88" s="16"/>
      <c r="H88" s="17" t="str">
        <f t="shared" si="2"/>
        <v/>
      </c>
      <c r="I88" s="18" t="str">
        <f>IF(H88="","",ROUND(H88*Stocuri!G88,2))</f>
        <v/>
      </c>
      <c r="J88" s="6"/>
    </row>
    <row r="89" spans="2:10" x14ac:dyDescent="0.2">
      <c r="B89" s="11" t="str">
        <f>Stocuri!B89</f>
        <v/>
      </c>
      <c r="C89" s="10" t="str">
        <f>Stocuri!C89</f>
        <v/>
      </c>
      <c r="D89" s="11" t="str">
        <f>Stocuri!E89</f>
        <v/>
      </c>
      <c r="E89" s="11" t="str">
        <f>IF(B89="","",Produse!L89)</f>
        <v/>
      </c>
      <c r="F89" s="17" t="str">
        <f>Stocuri!F89</f>
        <v/>
      </c>
      <c r="G89" s="16"/>
      <c r="H89" s="17" t="str">
        <f t="shared" si="2"/>
        <v/>
      </c>
      <c r="I89" s="18" t="str">
        <f>IF(H89="","",ROUND(H89*Stocuri!G89,2))</f>
        <v/>
      </c>
      <c r="J89" s="6"/>
    </row>
    <row r="90" spans="2:10" x14ac:dyDescent="0.2">
      <c r="B90" s="11" t="str">
        <f>Stocuri!B90</f>
        <v/>
      </c>
      <c r="C90" s="10" t="str">
        <f>Stocuri!C90</f>
        <v/>
      </c>
      <c r="D90" s="11" t="str">
        <f>Stocuri!E90</f>
        <v/>
      </c>
      <c r="E90" s="11" t="str">
        <f>IF(B90="","",Produse!L90)</f>
        <v/>
      </c>
      <c r="F90" s="17" t="str">
        <f>Stocuri!F90</f>
        <v/>
      </c>
      <c r="G90" s="16"/>
      <c r="H90" s="17" t="str">
        <f t="shared" si="2"/>
        <v/>
      </c>
      <c r="I90" s="18" t="str">
        <f>IF(H90="","",ROUND(H90*Stocuri!G90,2))</f>
        <v/>
      </c>
      <c r="J90" s="6"/>
    </row>
    <row r="91" spans="2:10" x14ac:dyDescent="0.2">
      <c r="B91" s="11" t="str">
        <f>Stocuri!B91</f>
        <v/>
      </c>
      <c r="C91" s="10" t="str">
        <f>Stocuri!C91</f>
        <v/>
      </c>
      <c r="D91" s="11" t="str">
        <f>Stocuri!E91</f>
        <v/>
      </c>
      <c r="E91" s="11" t="str">
        <f>IF(B91="","",Produse!L91)</f>
        <v/>
      </c>
      <c r="F91" s="17" t="str">
        <f>Stocuri!F91</f>
        <v/>
      </c>
      <c r="G91" s="16"/>
      <c r="H91" s="17" t="str">
        <f t="shared" si="2"/>
        <v/>
      </c>
      <c r="I91" s="18" t="str">
        <f>IF(H91="","",ROUND(H91*Stocuri!G91,2))</f>
        <v/>
      </c>
      <c r="J91" s="6"/>
    </row>
    <row r="92" spans="2:10" x14ac:dyDescent="0.2">
      <c r="B92" s="11" t="str">
        <f>Stocuri!B92</f>
        <v/>
      </c>
      <c r="C92" s="10" t="str">
        <f>Stocuri!C92</f>
        <v/>
      </c>
      <c r="D92" s="11" t="str">
        <f>Stocuri!E92</f>
        <v/>
      </c>
      <c r="E92" s="11" t="str">
        <f>IF(B92="","",Produse!L92)</f>
        <v/>
      </c>
      <c r="F92" s="17" t="str">
        <f>Stocuri!F92</f>
        <v/>
      </c>
      <c r="G92" s="16"/>
      <c r="H92" s="17" t="str">
        <f t="shared" si="2"/>
        <v/>
      </c>
      <c r="I92" s="18" t="str">
        <f>IF(H92="","",ROUND(H92*Stocuri!G92,2))</f>
        <v/>
      </c>
      <c r="J92" s="6"/>
    </row>
    <row r="93" spans="2:10" x14ac:dyDescent="0.2">
      <c r="B93" s="11" t="str">
        <f>Stocuri!B93</f>
        <v/>
      </c>
      <c r="C93" s="10" t="str">
        <f>Stocuri!C93</f>
        <v/>
      </c>
      <c r="D93" s="11" t="str">
        <f>Stocuri!E93</f>
        <v/>
      </c>
      <c r="E93" s="11" t="str">
        <f>IF(B93="","",Produse!L93)</f>
        <v/>
      </c>
      <c r="F93" s="17" t="str">
        <f>Stocuri!F93</f>
        <v/>
      </c>
      <c r="G93" s="16"/>
      <c r="H93" s="17" t="str">
        <f t="shared" si="2"/>
        <v/>
      </c>
      <c r="I93" s="18" t="str">
        <f>IF(H93="","",ROUND(H93*Stocuri!G93,2))</f>
        <v/>
      </c>
      <c r="J93" s="6"/>
    </row>
    <row r="94" spans="2:10" x14ac:dyDescent="0.2">
      <c r="B94" s="11" t="str">
        <f>Stocuri!B94</f>
        <v/>
      </c>
      <c r="C94" s="10" t="str">
        <f>Stocuri!C94</f>
        <v/>
      </c>
      <c r="D94" s="11" t="str">
        <f>Stocuri!E94</f>
        <v/>
      </c>
      <c r="E94" s="11" t="str">
        <f>IF(B94="","",Produse!L94)</f>
        <v/>
      </c>
      <c r="F94" s="17" t="str">
        <f>Stocuri!F94</f>
        <v/>
      </c>
      <c r="G94" s="16"/>
      <c r="H94" s="17" t="str">
        <f t="shared" si="2"/>
        <v/>
      </c>
      <c r="I94" s="18" t="str">
        <f>IF(H94="","",ROUND(H94*Stocuri!G94,2))</f>
        <v/>
      </c>
      <c r="J94" s="6"/>
    </row>
    <row r="95" spans="2:10" x14ac:dyDescent="0.2">
      <c r="B95" s="11" t="str">
        <f>Stocuri!B95</f>
        <v/>
      </c>
      <c r="C95" s="10" t="str">
        <f>Stocuri!C95</f>
        <v/>
      </c>
      <c r="D95" s="11" t="str">
        <f>Stocuri!E95</f>
        <v/>
      </c>
      <c r="E95" s="11" t="str">
        <f>IF(B95="","",Produse!L95)</f>
        <v/>
      </c>
      <c r="F95" s="17" t="str">
        <f>Stocuri!F95</f>
        <v/>
      </c>
      <c r="G95" s="16"/>
      <c r="H95" s="17" t="str">
        <f t="shared" si="2"/>
        <v/>
      </c>
      <c r="I95" s="18" t="str">
        <f>IF(H95="","",ROUND(H95*Stocuri!G95,2))</f>
        <v/>
      </c>
      <c r="J95" s="6"/>
    </row>
    <row r="96" spans="2:10" x14ac:dyDescent="0.2">
      <c r="B96" s="11" t="str">
        <f>Stocuri!B96</f>
        <v/>
      </c>
      <c r="C96" s="10" t="str">
        <f>Stocuri!C96</f>
        <v/>
      </c>
      <c r="D96" s="11" t="str">
        <f>Stocuri!E96</f>
        <v/>
      </c>
      <c r="E96" s="11" t="str">
        <f>IF(B96="","",Produse!L96)</f>
        <v/>
      </c>
      <c r="F96" s="17" t="str">
        <f>Stocuri!F96</f>
        <v/>
      </c>
      <c r="G96" s="16"/>
      <c r="H96" s="17" t="str">
        <f t="shared" si="2"/>
        <v/>
      </c>
      <c r="I96" s="18" t="str">
        <f>IF(H96="","",ROUND(H96*Stocuri!G96,2))</f>
        <v/>
      </c>
      <c r="J96" s="6"/>
    </row>
    <row r="97" spans="2:10" x14ac:dyDescent="0.2">
      <c r="B97" s="11" t="str">
        <f>Stocuri!B97</f>
        <v/>
      </c>
      <c r="C97" s="10" t="str">
        <f>Stocuri!C97</f>
        <v/>
      </c>
      <c r="D97" s="11" t="str">
        <f>Stocuri!E97</f>
        <v/>
      </c>
      <c r="E97" s="11" t="str">
        <f>IF(B97="","",Produse!L97)</f>
        <v/>
      </c>
      <c r="F97" s="17" t="str">
        <f>Stocuri!F97</f>
        <v/>
      </c>
      <c r="G97" s="16"/>
      <c r="H97" s="17" t="str">
        <f t="shared" si="2"/>
        <v/>
      </c>
      <c r="I97" s="18" t="str">
        <f>IF(H97="","",ROUND(H97*Stocuri!G97,2))</f>
        <v/>
      </c>
      <c r="J97" s="6"/>
    </row>
    <row r="98" spans="2:10" x14ac:dyDescent="0.2">
      <c r="B98" s="11" t="str">
        <f>Stocuri!B98</f>
        <v/>
      </c>
      <c r="C98" s="10" t="str">
        <f>Stocuri!C98</f>
        <v/>
      </c>
      <c r="D98" s="11" t="str">
        <f>Stocuri!E98</f>
        <v/>
      </c>
      <c r="E98" s="11" t="str">
        <f>IF(B98="","",Produse!L98)</f>
        <v/>
      </c>
      <c r="F98" s="17" t="str">
        <f>Stocuri!F98</f>
        <v/>
      </c>
      <c r="G98" s="16"/>
      <c r="H98" s="17" t="str">
        <f t="shared" si="2"/>
        <v/>
      </c>
      <c r="I98" s="18" t="str">
        <f>IF(H98="","",ROUND(H98*Stocuri!G98,2))</f>
        <v/>
      </c>
      <c r="J98" s="6"/>
    </row>
    <row r="99" spans="2:10" x14ac:dyDescent="0.2">
      <c r="B99" s="11" t="str">
        <f>Stocuri!B99</f>
        <v/>
      </c>
      <c r="C99" s="10" t="str">
        <f>Stocuri!C99</f>
        <v/>
      </c>
      <c r="D99" s="11" t="str">
        <f>Stocuri!E99</f>
        <v/>
      </c>
      <c r="E99" s="11" t="str">
        <f>IF(B99="","",Produse!L99)</f>
        <v/>
      </c>
      <c r="F99" s="17" t="str">
        <f>Stocuri!F99</f>
        <v/>
      </c>
      <c r="G99" s="16"/>
      <c r="H99" s="17" t="str">
        <f t="shared" si="2"/>
        <v/>
      </c>
      <c r="I99" s="18" t="str">
        <f>IF(H99="","",ROUND(H99*Stocuri!G99,2))</f>
        <v/>
      </c>
      <c r="J99" s="6"/>
    </row>
    <row r="100" spans="2:10" x14ac:dyDescent="0.2">
      <c r="B100" s="11" t="str">
        <f>Stocuri!B100</f>
        <v/>
      </c>
      <c r="C100" s="10" t="str">
        <f>Stocuri!C100</f>
        <v/>
      </c>
      <c r="D100" s="11" t="str">
        <f>Stocuri!E100</f>
        <v/>
      </c>
      <c r="E100" s="11" t="str">
        <f>IF(B100="","",Produse!L100)</f>
        <v/>
      </c>
      <c r="F100" s="17" t="str">
        <f>Stocuri!F100</f>
        <v/>
      </c>
      <c r="G100" s="16"/>
      <c r="H100" s="17" t="str">
        <f t="shared" si="2"/>
        <v/>
      </c>
      <c r="I100" s="18" t="str">
        <f>IF(H100="","",ROUND(H100*Stocuri!G100,2))</f>
        <v/>
      </c>
      <c r="J100" s="6"/>
    </row>
    <row r="101" spans="2:10" x14ac:dyDescent="0.2">
      <c r="B101" s="11" t="str">
        <f>Stocuri!B101</f>
        <v/>
      </c>
      <c r="C101" s="10" t="str">
        <f>Stocuri!C101</f>
        <v/>
      </c>
      <c r="D101" s="11" t="str">
        <f>Stocuri!E101</f>
        <v/>
      </c>
      <c r="E101" s="11" t="str">
        <f>IF(B101="","",Produse!L101)</f>
        <v/>
      </c>
      <c r="F101" s="17" t="str">
        <f>Stocuri!F101</f>
        <v/>
      </c>
      <c r="G101" s="16"/>
      <c r="H101" s="17" t="str">
        <f t="shared" ref="H101:H132" si="3">IF(OR(B101="",G101=""),"",G101-F101)</f>
        <v/>
      </c>
      <c r="I101" s="18" t="str">
        <f>IF(H101="","",ROUND(H101*Stocuri!G101,2))</f>
        <v/>
      </c>
      <c r="J101" s="6"/>
    </row>
    <row r="102" spans="2:10" x14ac:dyDescent="0.2">
      <c r="B102" s="11" t="str">
        <f>Stocuri!B102</f>
        <v/>
      </c>
      <c r="C102" s="10" t="str">
        <f>Stocuri!C102</f>
        <v/>
      </c>
      <c r="D102" s="11" t="str">
        <f>Stocuri!E102</f>
        <v/>
      </c>
      <c r="E102" s="11" t="str">
        <f>IF(B102="","",Produse!L102)</f>
        <v/>
      </c>
      <c r="F102" s="17" t="str">
        <f>Stocuri!F102</f>
        <v/>
      </c>
      <c r="G102" s="16"/>
      <c r="H102" s="17" t="str">
        <f t="shared" si="3"/>
        <v/>
      </c>
      <c r="I102" s="18" t="str">
        <f>IF(H102="","",ROUND(H102*Stocuri!G102,2))</f>
        <v/>
      </c>
      <c r="J102" s="6"/>
    </row>
    <row r="103" spans="2:10" x14ac:dyDescent="0.2">
      <c r="B103" s="11" t="str">
        <f>Stocuri!B103</f>
        <v/>
      </c>
      <c r="C103" s="10" t="str">
        <f>Stocuri!C103</f>
        <v/>
      </c>
      <c r="D103" s="11" t="str">
        <f>Stocuri!E103</f>
        <v/>
      </c>
      <c r="E103" s="11" t="str">
        <f>IF(B103="","",Produse!L103)</f>
        <v/>
      </c>
      <c r="F103" s="17" t="str">
        <f>Stocuri!F103</f>
        <v/>
      </c>
      <c r="G103" s="16"/>
      <c r="H103" s="17" t="str">
        <f t="shared" si="3"/>
        <v/>
      </c>
      <c r="I103" s="18" t="str">
        <f>IF(H103="","",ROUND(H103*Stocuri!G103,2))</f>
        <v/>
      </c>
      <c r="J103" s="6"/>
    </row>
    <row r="104" spans="2:10" x14ac:dyDescent="0.2">
      <c r="B104" s="11" t="str">
        <f>Stocuri!B104</f>
        <v/>
      </c>
      <c r="C104" s="10" t="str">
        <f>Stocuri!C104</f>
        <v/>
      </c>
      <c r="D104" s="11" t="str">
        <f>Stocuri!E104</f>
        <v/>
      </c>
      <c r="E104" s="11" t="str">
        <f>IF(B104="","",Produse!L104)</f>
        <v/>
      </c>
      <c r="F104" s="17" t="str">
        <f>Stocuri!F104</f>
        <v/>
      </c>
      <c r="G104" s="16"/>
      <c r="H104" s="17" t="str">
        <f t="shared" si="3"/>
        <v/>
      </c>
      <c r="I104" s="18" t="str">
        <f>IF(H104="","",ROUND(H104*Stocuri!G104,2))</f>
        <v/>
      </c>
      <c r="J104" s="6"/>
    </row>
    <row r="105" spans="2:10" x14ac:dyDescent="0.2">
      <c r="B105" s="11" t="str">
        <f>Stocuri!B105</f>
        <v/>
      </c>
      <c r="C105" s="10" t="str">
        <f>Stocuri!C105</f>
        <v/>
      </c>
      <c r="D105" s="11" t="str">
        <f>Stocuri!E105</f>
        <v/>
      </c>
      <c r="E105" s="11" t="str">
        <f>IF(B105="","",Produse!L105)</f>
        <v/>
      </c>
      <c r="F105" s="17" t="str">
        <f>Stocuri!F105</f>
        <v/>
      </c>
      <c r="G105" s="16"/>
      <c r="H105" s="17" t="str">
        <f t="shared" si="3"/>
        <v/>
      </c>
      <c r="I105" s="18" t="str">
        <f>IF(H105="","",ROUND(H105*Stocuri!G105,2))</f>
        <v/>
      </c>
      <c r="J105" s="6"/>
    </row>
    <row r="106" spans="2:10" x14ac:dyDescent="0.2">
      <c r="B106" s="11" t="str">
        <f>Stocuri!B106</f>
        <v/>
      </c>
      <c r="C106" s="10" t="str">
        <f>Stocuri!C106</f>
        <v/>
      </c>
      <c r="D106" s="11" t="str">
        <f>Stocuri!E106</f>
        <v/>
      </c>
      <c r="E106" s="11" t="str">
        <f>IF(B106="","",Produse!L106)</f>
        <v/>
      </c>
      <c r="F106" s="17" t="str">
        <f>Stocuri!F106</f>
        <v/>
      </c>
      <c r="G106" s="16"/>
      <c r="H106" s="17" t="str">
        <f t="shared" si="3"/>
        <v/>
      </c>
      <c r="I106" s="18" t="str">
        <f>IF(H106="","",ROUND(H106*Stocuri!G106,2))</f>
        <v/>
      </c>
      <c r="J106" s="6"/>
    </row>
    <row r="107" spans="2:10" x14ac:dyDescent="0.2">
      <c r="B107" s="11" t="str">
        <f>Stocuri!B107</f>
        <v/>
      </c>
      <c r="C107" s="10" t="str">
        <f>Stocuri!C107</f>
        <v/>
      </c>
      <c r="D107" s="11" t="str">
        <f>Stocuri!E107</f>
        <v/>
      </c>
      <c r="E107" s="11" t="str">
        <f>IF(B107="","",Produse!L107)</f>
        <v/>
      </c>
      <c r="F107" s="17" t="str">
        <f>Stocuri!F107</f>
        <v/>
      </c>
      <c r="G107" s="16"/>
      <c r="H107" s="17" t="str">
        <f t="shared" si="3"/>
        <v/>
      </c>
      <c r="I107" s="18" t="str">
        <f>IF(H107="","",ROUND(H107*Stocuri!G107,2))</f>
        <v/>
      </c>
      <c r="J107" s="6"/>
    </row>
    <row r="108" spans="2:10" x14ac:dyDescent="0.2">
      <c r="B108" s="11" t="str">
        <f>Stocuri!B108</f>
        <v/>
      </c>
      <c r="C108" s="10" t="str">
        <f>Stocuri!C108</f>
        <v/>
      </c>
      <c r="D108" s="11" t="str">
        <f>Stocuri!E108</f>
        <v/>
      </c>
      <c r="E108" s="11" t="str">
        <f>IF(B108="","",Produse!L108)</f>
        <v/>
      </c>
      <c r="F108" s="17" t="str">
        <f>Stocuri!F108</f>
        <v/>
      </c>
      <c r="G108" s="16"/>
      <c r="H108" s="17" t="str">
        <f t="shared" si="3"/>
        <v/>
      </c>
      <c r="I108" s="18" t="str">
        <f>IF(H108="","",ROUND(H108*Stocuri!G108,2))</f>
        <v/>
      </c>
      <c r="J108" s="6"/>
    </row>
    <row r="109" spans="2:10" x14ac:dyDescent="0.2">
      <c r="B109" s="11" t="str">
        <f>Stocuri!B109</f>
        <v/>
      </c>
      <c r="C109" s="10" t="str">
        <f>Stocuri!C109</f>
        <v/>
      </c>
      <c r="D109" s="11" t="str">
        <f>Stocuri!E109</f>
        <v/>
      </c>
      <c r="E109" s="11" t="str">
        <f>IF(B109="","",Produse!L109)</f>
        <v/>
      </c>
      <c r="F109" s="17" t="str">
        <f>Stocuri!F109</f>
        <v/>
      </c>
      <c r="G109" s="16"/>
      <c r="H109" s="17" t="str">
        <f t="shared" si="3"/>
        <v/>
      </c>
      <c r="I109" s="18" t="str">
        <f>IF(H109="","",ROUND(H109*Stocuri!G109,2))</f>
        <v/>
      </c>
      <c r="J109" s="6"/>
    </row>
    <row r="110" spans="2:10" x14ac:dyDescent="0.2">
      <c r="B110" s="11" t="str">
        <f>Stocuri!B110</f>
        <v/>
      </c>
      <c r="C110" s="10" t="str">
        <f>Stocuri!C110</f>
        <v/>
      </c>
      <c r="D110" s="11" t="str">
        <f>Stocuri!E110</f>
        <v/>
      </c>
      <c r="E110" s="11" t="str">
        <f>IF(B110="","",Produse!L110)</f>
        <v/>
      </c>
      <c r="F110" s="17" t="str">
        <f>Stocuri!F110</f>
        <v/>
      </c>
      <c r="G110" s="16"/>
      <c r="H110" s="17" t="str">
        <f t="shared" si="3"/>
        <v/>
      </c>
      <c r="I110" s="18" t="str">
        <f>IF(H110="","",ROUND(H110*Stocuri!G110,2))</f>
        <v/>
      </c>
      <c r="J110" s="6"/>
    </row>
    <row r="111" spans="2:10" x14ac:dyDescent="0.2">
      <c r="B111" s="11" t="str">
        <f>Stocuri!B111</f>
        <v/>
      </c>
      <c r="C111" s="10" t="str">
        <f>Stocuri!C111</f>
        <v/>
      </c>
      <c r="D111" s="11" t="str">
        <f>Stocuri!E111</f>
        <v/>
      </c>
      <c r="E111" s="11" t="str">
        <f>IF(B111="","",Produse!L111)</f>
        <v/>
      </c>
      <c r="F111" s="17" t="str">
        <f>Stocuri!F111</f>
        <v/>
      </c>
      <c r="G111" s="16"/>
      <c r="H111" s="17" t="str">
        <f t="shared" si="3"/>
        <v/>
      </c>
      <c r="I111" s="18" t="str">
        <f>IF(H111="","",ROUND(H111*Stocuri!G111,2))</f>
        <v/>
      </c>
      <c r="J111" s="6"/>
    </row>
    <row r="112" spans="2:10" x14ac:dyDescent="0.2">
      <c r="B112" s="11" t="str">
        <f>Stocuri!B112</f>
        <v/>
      </c>
      <c r="C112" s="10" t="str">
        <f>Stocuri!C112</f>
        <v/>
      </c>
      <c r="D112" s="11" t="str">
        <f>Stocuri!E112</f>
        <v/>
      </c>
      <c r="E112" s="11" t="str">
        <f>IF(B112="","",Produse!L112)</f>
        <v/>
      </c>
      <c r="F112" s="17" t="str">
        <f>Stocuri!F112</f>
        <v/>
      </c>
      <c r="G112" s="16"/>
      <c r="H112" s="17" t="str">
        <f t="shared" si="3"/>
        <v/>
      </c>
      <c r="I112" s="18" t="str">
        <f>IF(H112="","",ROUND(H112*Stocuri!G112,2))</f>
        <v/>
      </c>
      <c r="J112" s="6"/>
    </row>
    <row r="113" spans="2:10" x14ac:dyDescent="0.2">
      <c r="B113" s="11" t="str">
        <f>Stocuri!B113</f>
        <v/>
      </c>
      <c r="C113" s="10" t="str">
        <f>Stocuri!C113</f>
        <v/>
      </c>
      <c r="D113" s="11" t="str">
        <f>Stocuri!E113</f>
        <v/>
      </c>
      <c r="E113" s="11" t="str">
        <f>IF(B113="","",Produse!L113)</f>
        <v/>
      </c>
      <c r="F113" s="17" t="str">
        <f>Stocuri!F113</f>
        <v/>
      </c>
      <c r="G113" s="16"/>
      <c r="H113" s="17" t="str">
        <f t="shared" si="3"/>
        <v/>
      </c>
      <c r="I113" s="18" t="str">
        <f>IF(H113="","",ROUND(H113*Stocuri!G113,2))</f>
        <v/>
      </c>
      <c r="J113" s="6"/>
    </row>
    <row r="114" spans="2:10" x14ac:dyDescent="0.2">
      <c r="B114" s="11" t="str">
        <f>Stocuri!B114</f>
        <v/>
      </c>
      <c r="C114" s="10" t="str">
        <f>Stocuri!C114</f>
        <v/>
      </c>
      <c r="D114" s="11" t="str">
        <f>Stocuri!E114</f>
        <v/>
      </c>
      <c r="E114" s="11" t="str">
        <f>IF(B114="","",Produse!L114)</f>
        <v/>
      </c>
      <c r="F114" s="17" t="str">
        <f>Stocuri!F114</f>
        <v/>
      </c>
      <c r="G114" s="16"/>
      <c r="H114" s="17" t="str">
        <f t="shared" si="3"/>
        <v/>
      </c>
      <c r="I114" s="18" t="str">
        <f>IF(H114="","",ROUND(H114*Stocuri!G114,2))</f>
        <v/>
      </c>
      <c r="J114" s="6"/>
    </row>
    <row r="115" spans="2:10" x14ac:dyDescent="0.2">
      <c r="B115" s="11" t="str">
        <f>Stocuri!B115</f>
        <v/>
      </c>
      <c r="C115" s="10" t="str">
        <f>Stocuri!C115</f>
        <v/>
      </c>
      <c r="D115" s="11" t="str">
        <f>Stocuri!E115</f>
        <v/>
      </c>
      <c r="E115" s="11" t="str">
        <f>IF(B115="","",Produse!L115)</f>
        <v/>
      </c>
      <c r="F115" s="17" t="str">
        <f>Stocuri!F115</f>
        <v/>
      </c>
      <c r="G115" s="16"/>
      <c r="H115" s="17" t="str">
        <f t="shared" si="3"/>
        <v/>
      </c>
      <c r="I115" s="18" t="str">
        <f>IF(H115="","",ROUND(H115*Stocuri!G115,2))</f>
        <v/>
      </c>
      <c r="J115" s="6"/>
    </row>
    <row r="116" spans="2:10" x14ac:dyDescent="0.2">
      <c r="B116" s="11" t="str">
        <f>Stocuri!B116</f>
        <v/>
      </c>
      <c r="C116" s="10" t="str">
        <f>Stocuri!C116</f>
        <v/>
      </c>
      <c r="D116" s="11" t="str">
        <f>Stocuri!E116</f>
        <v/>
      </c>
      <c r="E116" s="11" t="str">
        <f>IF(B116="","",Produse!L116)</f>
        <v/>
      </c>
      <c r="F116" s="17" t="str">
        <f>Stocuri!F116</f>
        <v/>
      </c>
      <c r="G116" s="16"/>
      <c r="H116" s="17" t="str">
        <f t="shared" si="3"/>
        <v/>
      </c>
      <c r="I116" s="18" t="str">
        <f>IF(H116="","",ROUND(H116*Stocuri!G116,2))</f>
        <v/>
      </c>
      <c r="J116" s="6"/>
    </row>
    <row r="117" spans="2:10" x14ac:dyDescent="0.2">
      <c r="B117" s="11" t="str">
        <f>Stocuri!B117</f>
        <v/>
      </c>
      <c r="C117" s="10" t="str">
        <f>Stocuri!C117</f>
        <v/>
      </c>
      <c r="D117" s="11" t="str">
        <f>Stocuri!E117</f>
        <v/>
      </c>
      <c r="E117" s="11" t="str">
        <f>IF(B117="","",Produse!L117)</f>
        <v/>
      </c>
      <c r="F117" s="17" t="str">
        <f>Stocuri!F117</f>
        <v/>
      </c>
      <c r="G117" s="16"/>
      <c r="H117" s="17" t="str">
        <f t="shared" si="3"/>
        <v/>
      </c>
      <c r="I117" s="18" t="str">
        <f>IF(H117="","",ROUND(H117*Stocuri!G117,2))</f>
        <v/>
      </c>
      <c r="J117" s="6"/>
    </row>
    <row r="118" spans="2:10" x14ac:dyDescent="0.2">
      <c r="B118" s="11" t="str">
        <f>Stocuri!B118</f>
        <v/>
      </c>
      <c r="C118" s="10" t="str">
        <f>Stocuri!C118</f>
        <v/>
      </c>
      <c r="D118" s="11" t="str">
        <f>Stocuri!E118</f>
        <v/>
      </c>
      <c r="E118" s="11" t="str">
        <f>IF(B118="","",Produse!L118)</f>
        <v/>
      </c>
      <c r="F118" s="17" t="str">
        <f>Stocuri!F118</f>
        <v/>
      </c>
      <c r="G118" s="16"/>
      <c r="H118" s="17" t="str">
        <f t="shared" si="3"/>
        <v/>
      </c>
      <c r="I118" s="18" t="str">
        <f>IF(H118="","",ROUND(H118*Stocuri!G118,2))</f>
        <v/>
      </c>
      <c r="J118" s="6"/>
    </row>
    <row r="119" spans="2:10" x14ac:dyDescent="0.2">
      <c r="B119" s="11" t="str">
        <f>Stocuri!B119</f>
        <v/>
      </c>
      <c r="C119" s="10" t="str">
        <f>Stocuri!C119</f>
        <v/>
      </c>
      <c r="D119" s="11" t="str">
        <f>Stocuri!E119</f>
        <v/>
      </c>
      <c r="E119" s="11" t="str">
        <f>IF(B119="","",Produse!L119)</f>
        <v/>
      </c>
      <c r="F119" s="17" t="str">
        <f>Stocuri!F119</f>
        <v/>
      </c>
      <c r="G119" s="16"/>
      <c r="H119" s="17" t="str">
        <f t="shared" si="3"/>
        <v/>
      </c>
      <c r="I119" s="18" t="str">
        <f>IF(H119="","",ROUND(H119*Stocuri!G119,2))</f>
        <v/>
      </c>
      <c r="J119" s="6"/>
    </row>
    <row r="120" spans="2:10" x14ac:dyDescent="0.2">
      <c r="B120" s="11" t="str">
        <f>Stocuri!B120</f>
        <v/>
      </c>
      <c r="C120" s="10" t="str">
        <f>Stocuri!C120</f>
        <v/>
      </c>
      <c r="D120" s="11" t="str">
        <f>Stocuri!E120</f>
        <v/>
      </c>
      <c r="E120" s="11" t="str">
        <f>IF(B120="","",Produse!L120)</f>
        <v/>
      </c>
      <c r="F120" s="17" t="str">
        <f>Stocuri!F120</f>
        <v/>
      </c>
      <c r="G120" s="16"/>
      <c r="H120" s="17" t="str">
        <f t="shared" si="3"/>
        <v/>
      </c>
      <c r="I120" s="18" t="str">
        <f>IF(H120="","",ROUND(H120*Stocuri!G120,2))</f>
        <v/>
      </c>
      <c r="J120" s="6"/>
    </row>
    <row r="121" spans="2:10" x14ac:dyDescent="0.2">
      <c r="B121" s="11" t="str">
        <f>Stocuri!B121</f>
        <v/>
      </c>
      <c r="C121" s="10" t="str">
        <f>Stocuri!C121</f>
        <v/>
      </c>
      <c r="D121" s="11" t="str">
        <f>Stocuri!E121</f>
        <v/>
      </c>
      <c r="E121" s="11" t="str">
        <f>IF(B121="","",Produse!L121)</f>
        <v/>
      </c>
      <c r="F121" s="17" t="str">
        <f>Stocuri!F121</f>
        <v/>
      </c>
      <c r="G121" s="16"/>
      <c r="H121" s="17" t="str">
        <f t="shared" si="3"/>
        <v/>
      </c>
      <c r="I121" s="18" t="str">
        <f>IF(H121="","",ROUND(H121*Stocuri!G121,2))</f>
        <v/>
      </c>
      <c r="J121" s="6"/>
    </row>
    <row r="122" spans="2:10" x14ac:dyDescent="0.2">
      <c r="B122" s="11" t="str">
        <f>Stocuri!B122</f>
        <v/>
      </c>
      <c r="C122" s="10" t="str">
        <f>Stocuri!C122</f>
        <v/>
      </c>
      <c r="D122" s="11" t="str">
        <f>Stocuri!E122</f>
        <v/>
      </c>
      <c r="E122" s="11" t="str">
        <f>IF(B122="","",Produse!L122)</f>
        <v/>
      </c>
      <c r="F122" s="17" t="str">
        <f>Stocuri!F122</f>
        <v/>
      </c>
      <c r="G122" s="16"/>
      <c r="H122" s="17" t="str">
        <f t="shared" si="3"/>
        <v/>
      </c>
      <c r="I122" s="18" t="str">
        <f>IF(H122="","",ROUND(H122*Stocuri!G122,2))</f>
        <v/>
      </c>
      <c r="J122" s="6"/>
    </row>
    <row r="123" spans="2:10" x14ac:dyDescent="0.2">
      <c r="B123" s="11" t="str">
        <f>Stocuri!B123</f>
        <v/>
      </c>
      <c r="C123" s="10" t="str">
        <f>Stocuri!C123</f>
        <v/>
      </c>
      <c r="D123" s="11" t="str">
        <f>Stocuri!E123</f>
        <v/>
      </c>
      <c r="E123" s="11" t="str">
        <f>IF(B123="","",Produse!L123)</f>
        <v/>
      </c>
      <c r="F123" s="17" t="str">
        <f>Stocuri!F123</f>
        <v/>
      </c>
      <c r="G123" s="16"/>
      <c r="H123" s="17" t="str">
        <f t="shared" si="3"/>
        <v/>
      </c>
      <c r="I123" s="18" t="str">
        <f>IF(H123="","",ROUND(H123*Stocuri!G123,2))</f>
        <v/>
      </c>
      <c r="J123" s="6"/>
    </row>
    <row r="124" spans="2:10" x14ac:dyDescent="0.2">
      <c r="B124" s="11" t="str">
        <f>Stocuri!B124</f>
        <v/>
      </c>
      <c r="C124" s="10" t="str">
        <f>Stocuri!C124</f>
        <v/>
      </c>
      <c r="D124" s="11" t="str">
        <f>Stocuri!E124</f>
        <v/>
      </c>
      <c r="E124" s="11" t="str">
        <f>IF(B124="","",Produse!L124)</f>
        <v/>
      </c>
      <c r="F124" s="17" t="str">
        <f>Stocuri!F124</f>
        <v/>
      </c>
      <c r="G124" s="16"/>
      <c r="H124" s="17" t="str">
        <f t="shared" si="3"/>
        <v/>
      </c>
      <c r="I124" s="18" t="str">
        <f>IF(H124="","",ROUND(H124*Stocuri!G124,2))</f>
        <v/>
      </c>
      <c r="J124" s="6"/>
    </row>
    <row r="125" spans="2:10" x14ac:dyDescent="0.2">
      <c r="B125" s="11" t="str">
        <f>Stocuri!B125</f>
        <v/>
      </c>
      <c r="C125" s="10" t="str">
        <f>Stocuri!C125</f>
        <v/>
      </c>
      <c r="D125" s="11" t="str">
        <f>Stocuri!E125</f>
        <v/>
      </c>
      <c r="E125" s="11" t="str">
        <f>IF(B125="","",Produse!L125)</f>
        <v/>
      </c>
      <c r="F125" s="17" t="str">
        <f>Stocuri!F125</f>
        <v/>
      </c>
      <c r="G125" s="16"/>
      <c r="H125" s="17" t="str">
        <f t="shared" si="3"/>
        <v/>
      </c>
      <c r="I125" s="18" t="str">
        <f>IF(H125="","",ROUND(H125*Stocuri!G125,2))</f>
        <v/>
      </c>
      <c r="J125" s="6"/>
    </row>
    <row r="126" spans="2:10" x14ac:dyDescent="0.2">
      <c r="B126" s="11" t="str">
        <f>Stocuri!B126</f>
        <v/>
      </c>
      <c r="C126" s="10" t="str">
        <f>Stocuri!C126</f>
        <v/>
      </c>
      <c r="D126" s="11" t="str">
        <f>Stocuri!E126</f>
        <v/>
      </c>
      <c r="E126" s="11" t="str">
        <f>IF(B126="","",Produse!L126)</f>
        <v/>
      </c>
      <c r="F126" s="17" t="str">
        <f>Stocuri!F126</f>
        <v/>
      </c>
      <c r="G126" s="16"/>
      <c r="H126" s="17" t="str">
        <f t="shared" si="3"/>
        <v/>
      </c>
      <c r="I126" s="18" t="str">
        <f>IF(H126="","",ROUND(H126*Stocuri!G126,2))</f>
        <v/>
      </c>
      <c r="J126" s="6"/>
    </row>
    <row r="127" spans="2:10" x14ac:dyDescent="0.2">
      <c r="B127" s="11" t="str">
        <f>Stocuri!B127</f>
        <v/>
      </c>
      <c r="C127" s="10" t="str">
        <f>Stocuri!C127</f>
        <v/>
      </c>
      <c r="D127" s="11" t="str">
        <f>Stocuri!E127</f>
        <v/>
      </c>
      <c r="E127" s="11" t="str">
        <f>IF(B127="","",Produse!L127)</f>
        <v/>
      </c>
      <c r="F127" s="17" t="str">
        <f>Stocuri!F127</f>
        <v/>
      </c>
      <c r="G127" s="16"/>
      <c r="H127" s="17" t="str">
        <f t="shared" si="3"/>
        <v/>
      </c>
      <c r="I127" s="18" t="str">
        <f>IF(H127="","",ROUND(H127*Stocuri!G127,2))</f>
        <v/>
      </c>
      <c r="J127" s="6"/>
    </row>
    <row r="128" spans="2:10" x14ac:dyDescent="0.2">
      <c r="B128" s="11" t="str">
        <f>Stocuri!B128</f>
        <v/>
      </c>
      <c r="C128" s="10" t="str">
        <f>Stocuri!C128</f>
        <v/>
      </c>
      <c r="D128" s="11" t="str">
        <f>Stocuri!E128</f>
        <v/>
      </c>
      <c r="E128" s="11" t="str">
        <f>IF(B128="","",Produse!L128)</f>
        <v/>
      </c>
      <c r="F128" s="17" t="str">
        <f>Stocuri!F128</f>
        <v/>
      </c>
      <c r="G128" s="16"/>
      <c r="H128" s="17" t="str">
        <f t="shared" si="3"/>
        <v/>
      </c>
      <c r="I128" s="18" t="str">
        <f>IF(H128="","",ROUND(H128*Stocuri!G128,2))</f>
        <v/>
      </c>
      <c r="J128" s="6"/>
    </row>
    <row r="129" spans="2:10" x14ac:dyDescent="0.2">
      <c r="B129" s="11" t="str">
        <f>Stocuri!B129</f>
        <v/>
      </c>
      <c r="C129" s="10" t="str">
        <f>Stocuri!C129</f>
        <v/>
      </c>
      <c r="D129" s="11" t="str">
        <f>Stocuri!E129</f>
        <v/>
      </c>
      <c r="E129" s="11" t="str">
        <f>IF(B129="","",Produse!L129)</f>
        <v/>
      </c>
      <c r="F129" s="17" t="str">
        <f>Stocuri!F129</f>
        <v/>
      </c>
      <c r="G129" s="16"/>
      <c r="H129" s="17" t="str">
        <f t="shared" si="3"/>
        <v/>
      </c>
      <c r="I129" s="18" t="str">
        <f>IF(H129="","",ROUND(H129*Stocuri!G129,2))</f>
        <v/>
      </c>
      <c r="J129" s="6"/>
    </row>
    <row r="130" spans="2:10" x14ac:dyDescent="0.2">
      <c r="B130" s="11" t="str">
        <f>Stocuri!B130</f>
        <v/>
      </c>
      <c r="C130" s="10" t="str">
        <f>Stocuri!C130</f>
        <v/>
      </c>
      <c r="D130" s="11" t="str">
        <f>Stocuri!E130</f>
        <v/>
      </c>
      <c r="E130" s="11" t="str">
        <f>IF(B130="","",Produse!L130)</f>
        <v/>
      </c>
      <c r="F130" s="17" t="str">
        <f>Stocuri!F130</f>
        <v/>
      </c>
      <c r="G130" s="16"/>
      <c r="H130" s="17" t="str">
        <f t="shared" si="3"/>
        <v/>
      </c>
      <c r="I130" s="18" t="str">
        <f>IF(H130="","",ROUND(H130*Stocuri!G130,2))</f>
        <v/>
      </c>
      <c r="J130" s="6"/>
    </row>
    <row r="131" spans="2:10" x14ac:dyDescent="0.2">
      <c r="B131" s="11" t="str">
        <f>Stocuri!B131</f>
        <v/>
      </c>
      <c r="C131" s="10" t="str">
        <f>Stocuri!C131</f>
        <v/>
      </c>
      <c r="D131" s="11" t="str">
        <f>Stocuri!E131</f>
        <v/>
      </c>
      <c r="E131" s="11" t="str">
        <f>IF(B131="","",Produse!L131)</f>
        <v/>
      </c>
      <c r="F131" s="17" t="str">
        <f>Stocuri!F131</f>
        <v/>
      </c>
      <c r="G131" s="16"/>
      <c r="H131" s="17" t="str">
        <f t="shared" si="3"/>
        <v/>
      </c>
      <c r="I131" s="18" t="str">
        <f>IF(H131="","",ROUND(H131*Stocuri!G131,2))</f>
        <v/>
      </c>
      <c r="J131" s="6"/>
    </row>
    <row r="132" spans="2:10" x14ac:dyDescent="0.2">
      <c r="B132" s="11" t="str">
        <f>Stocuri!B132</f>
        <v/>
      </c>
      <c r="C132" s="10" t="str">
        <f>Stocuri!C132</f>
        <v/>
      </c>
      <c r="D132" s="11" t="str">
        <f>Stocuri!E132</f>
        <v/>
      </c>
      <c r="E132" s="11" t="str">
        <f>IF(B132="","",Produse!L132)</f>
        <v/>
      </c>
      <c r="F132" s="17" t="str">
        <f>Stocuri!F132</f>
        <v/>
      </c>
      <c r="G132" s="16"/>
      <c r="H132" s="17" t="str">
        <f t="shared" si="3"/>
        <v/>
      </c>
      <c r="I132" s="18" t="str">
        <f>IF(H132="","",ROUND(H132*Stocuri!G132,2))</f>
        <v/>
      </c>
      <c r="J132" s="6"/>
    </row>
    <row r="133" spans="2:10" x14ac:dyDescent="0.2">
      <c r="B133" s="11" t="str">
        <f>Stocuri!B133</f>
        <v/>
      </c>
      <c r="C133" s="10" t="str">
        <f>Stocuri!C133</f>
        <v/>
      </c>
      <c r="D133" s="11" t="str">
        <f>Stocuri!E133</f>
        <v/>
      </c>
      <c r="E133" s="11" t="str">
        <f>IF(B133="","",Produse!L133)</f>
        <v/>
      </c>
      <c r="F133" s="17" t="str">
        <f>Stocuri!F133</f>
        <v/>
      </c>
      <c r="G133" s="16"/>
      <c r="H133" s="17" t="str">
        <f t="shared" ref="H133:H164" si="4">IF(OR(B133="",G133=""),"",G133-F133)</f>
        <v/>
      </c>
      <c r="I133" s="18" t="str">
        <f>IF(H133="","",ROUND(H133*Stocuri!G133,2))</f>
        <v/>
      </c>
      <c r="J133" s="6"/>
    </row>
    <row r="134" spans="2:10" x14ac:dyDescent="0.2">
      <c r="B134" s="11" t="str">
        <f>Stocuri!B134</f>
        <v/>
      </c>
      <c r="C134" s="10" t="str">
        <f>Stocuri!C134</f>
        <v/>
      </c>
      <c r="D134" s="11" t="str">
        <f>Stocuri!E134</f>
        <v/>
      </c>
      <c r="E134" s="11" t="str">
        <f>IF(B134="","",Produse!L134)</f>
        <v/>
      </c>
      <c r="F134" s="17" t="str">
        <f>Stocuri!F134</f>
        <v/>
      </c>
      <c r="G134" s="16"/>
      <c r="H134" s="17" t="str">
        <f t="shared" si="4"/>
        <v/>
      </c>
      <c r="I134" s="18" t="str">
        <f>IF(H134="","",ROUND(H134*Stocuri!G134,2))</f>
        <v/>
      </c>
      <c r="J134" s="6"/>
    </row>
    <row r="135" spans="2:10" x14ac:dyDescent="0.2">
      <c r="B135" s="11" t="str">
        <f>Stocuri!B135</f>
        <v/>
      </c>
      <c r="C135" s="10" t="str">
        <f>Stocuri!C135</f>
        <v/>
      </c>
      <c r="D135" s="11" t="str">
        <f>Stocuri!E135</f>
        <v/>
      </c>
      <c r="E135" s="11" t="str">
        <f>IF(B135="","",Produse!L135)</f>
        <v/>
      </c>
      <c r="F135" s="17" t="str">
        <f>Stocuri!F135</f>
        <v/>
      </c>
      <c r="G135" s="16"/>
      <c r="H135" s="17" t="str">
        <f t="shared" si="4"/>
        <v/>
      </c>
      <c r="I135" s="18" t="str">
        <f>IF(H135="","",ROUND(H135*Stocuri!G135,2))</f>
        <v/>
      </c>
      <c r="J135" s="6"/>
    </row>
    <row r="136" spans="2:10" x14ac:dyDescent="0.2">
      <c r="B136" s="11" t="str">
        <f>Stocuri!B136</f>
        <v/>
      </c>
      <c r="C136" s="10" t="str">
        <f>Stocuri!C136</f>
        <v/>
      </c>
      <c r="D136" s="11" t="str">
        <f>Stocuri!E136</f>
        <v/>
      </c>
      <c r="E136" s="11" t="str">
        <f>IF(B136="","",Produse!L136)</f>
        <v/>
      </c>
      <c r="F136" s="17" t="str">
        <f>Stocuri!F136</f>
        <v/>
      </c>
      <c r="G136" s="16"/>
      <c r="H136" s="17" t="str">
        <f t="shared" si="4"/>
        <v/>
      </c>
      <c r="I136" s="18" t="str">
        <f>IF(H136="","",ROUND(H136*Stocuri!G136,2))</f>
        <v/>
      </c>
      <c r="J136" s="6"/>
    </row>
    <row r="137" spans="2:10" x14ac:dyDescent="0.2">
      <c r="B137" s="11" t="str">
        <f>Stocuri!B137</f>
        <v/>
      </c>
      <c r="C137" s="10" t="str">
        <f>Stocuri!C137</f>
        <v/>
      </c>
      <c r="D137" s="11" t="str">
        <f>Stocuri!E137</f>
        <v/>
      </c>
      <c r="E137" s="11" t="str">
        <f>IF(B137="","",Produse!L137)</f>
        <v/>
      </c>
      <c r="F137" s="17" t="str">
        <f>Stocuri!F137</f>
        <v/>
      </c>
      <c r="G137" s="16"/>
      <c r="H137" s="17" t="str">
        <f t="shared" si="4"/>
        <v/>
      </c>
      <c r="I137" s="18" t="str">
        <f>IF(H137="","",ROUND(H137*Stocuri!G137,2))</f>
        <v/>
      </c>
      <c r="J137" s="6"/>
    </row>
    <row r="138" spans="2:10" x14ac:dyDescent="0.2">
      <c r="B138" s="11" t="str">
        <f>Stocuri!B138</f>
        <v/>
      </c>
      <c r="C138" s="10" t="str">
        <f>Stocuri!C138</f>
        <v/>
      </c>
      <c r="D138" s="11" t="str">
        <f>Stocuri!E138</f>
        <v/>
      </c>
      <c r="E138" s="11" t="str">
        <f>IF(B138="","",Produse!L138)</f>
        <v/>
      </c>
      <c r="F138" s="17" t="str">
        <f>Stocuri!F138</f>
        <v/>
      </c>
      <c r="G138" s="16"/>
      <c r="H138" s="17" t="str">
        <f t="shared" si="4"/>
        <v/>
      </c>
      <c r="I138" s="18" t="str">
        <f>IF(H138="","",ROUND(H138*Stocuri!G138,2))</f>
        <v/>
      </c>
      <c r="J138" s="6"/>
    </row>
    <row r="139" spans="2:10" x14ac:dyDescent="0.2">
      <c r="B139" s="11" t="str">
        <f>Stocuri!B139</f>
        <v/>
      </c>
      <c r="C139" s="10" t="str">
        <f>Stocuri!C139</f>
        <v/>
      </c>
      <c r="D139" s="11" t="str">
        <f>Stocuri!E139</f>
        <v/>
      </c>
      <c r="E139" s="11" t="str">
        <f>IF(B139="","",Produse!L139)</f>
        <v/>
      </c>
      <c r="F139" s="17" t="str">
        <f>Stocuri!F139</f>
        <v/>
      </c>
      <c r="G139" s="16"/>
      <c r="H139" s="17" t="str">
        <f t="shared" si="4"/>
        <v/>
      </c>
      <c r="I139" s="18" t="str">
        <f>IF(H139="","",ROUND(H139*Stocuri!G139,2))</f>
        <v/>
      </c>
      <c r="J139" s="6"/>
    </row>
    <row r="140" spans="2:10" x14ac:dyDescent="0.2">
      <c r="B140" s="11" t="str">
        <f>Stocuri!B140</f>
        <v/>
      </c>
      <c r="C140" s="10" t="str">
        <f>Stocuri!C140</f>
        <v/>
      </c>
      <c r="D140" s="11" t="str">
        <f>Stocuri!E140</f>
        <v/>
      </c>
      <c r="E140" s="11" t="str">
        <f>IF(B140="","",Produse!L140)</f>
        <v/>
      </c>
      <c r="F140" s="17" t="str">
        <f>Stocuri!F140</f>
        <v/>
      </c>
      <c r="G140" s="16"/>
      <c r="H140" s="17" t="str">
        <f t="shared" si="4"/>
        <v/>
      </c>
      <c r="I140" s="18" t="str">
        <f>IF(H140="","",ROUND(H140*Stocuri!G140,2))</f>
        <v/>
      </c>
      <c r="J140" s="6"/>
    </row>
    <row r="141" spans="2:10" x14ac:dyDescent="0.2">
      <c r="B141" s="11" t="str">
        <f>Stocuri!B141</f>
        <v/>
      </c>
      <c r="C141" s="10" t="str">
        <f>Stocuri!C141</f>
        <v/>
      </c>
      <c r="D141" s="11" t="str">
        <f>Stocuri!E141</f>
        <v/>
      </c>
      <c r="E141" s="11" t="str">
        <f>IF(B141="","",Produse!L141)</f>
        <v/>
      </c>
      <c r="F141" s="17" t="str">
        <f>Stocuri!F141</f>
        <v/>
      </c>
      <c r="G141" s="16"/>
      <c r="H141" s="17" t="str">
        <f t="shared" si="4"/>
        <v/>
      </c>
      <c r="I141" s="18" t="str">
        <f>IF(H141="","",ROUND(H141*Stocuri!G141,2))</f>
        <v/>
      </c>
      <c r="J141" s="6"/>
    </row>
    <row r="142" spans="2:10" x14ac:dyDescent="0.2">
      <c r="B142" s="11" t="str">
        <f>Stocuri!B142</f>
        <v/>
      </c>
      <c r="C142" s="10" t="str">
        <f>Stocuri!C142</f>
        <v/>
      </c>
      <c r="D142" s="11" t="str">
        <f>Stocuri!E142</f>
        <v/>
      </c>
      <c r="E142" s="11" t="str">
        <f>IF(B142="","",Produse!L142)</f>
        <v/>
      </c>
      <c r="F142" s="17" t="str">
        <f>Stocuri!F142</f>
        <v/>
      </c>
      <c r="G142" s="16"/>
      <c r="H142" s="17" t="str">
        <f t="shared" si="4"/>
        <v/>
      </c>
      <c r="I142" s="18" t="str">
        <f>IF(H142="","",ROUND(H142*Stocuri!G142,2))</f>
        <v/>
      </c>
      <c r="J142" s="6"/>
    </row>
    <row r="143" spans="2:10" x14ac:dyDescent="0.2">
      <c r="B143" s="11" t="str">
        <f>Stocuri!B143</f>
        <v/>
      </c>
      <c r="C143" s="10" t="str">
        <f>Stocuri!C143</f>
        <v/>
      </c>
      <c r="D143" s="11" t="str">
        <f>Stocuri!E143</f>
        <v/>
      </c>
      <c r="E143" s="11" t="str">
        <f>IF(B143="","",Produse!L143)</f>
        <v/>
      </c>
      <c r="F143" s="17" t="str">
        <f>Stocuri!F143</f>
        <v/>
      </c>
      <c r="G143" s="16"/>
      <c r="H143" s="17" t="str">
        <f t="shared" si="4"/>
        <v/>
      </c>
      <c r="I143" s="18" t="str">
        <f>IF(H143="","",ROUND(H143*Stocuri!G143,2))</f>
        <v/>
      </c>
      <c r="J143" s="6"/>
    </row>
    <row r="144" spans="2:10" x14ac:dyDescent="0.2">
      <c r="B144" s="11" t="str">
        <f>Stocuri!B144</f>
        <v/>
      </c>
      <c r="C144" s="10" t="str">
        <f>Stocuri!C144</f>
        <v/>
      </c>
      <c r="D144" s="11" t="str">
        <f>Stocuri!E144</f>
        <v/>
      </c>
      <c r="E144" s="11" t="str">
        <f>IF(B144="","",Produse!L144)</f>
        <v/>
      </c>
      <c r="F144" s="17" t="str">
        <f>Stocuri!F144</f>
        <v/>
      </c>
      <c r="G144" s="16"/>
      <c r="H144" s="17" t="str">
        <f t="shared" si="4"/>
        <v/>
      </c>
      <c r="I144" s="18" t="str">
        <f>IF(H144="","",ROUND(H144*Stocuri!G144,2))</f>
        <v/>
      </c>
      <c r="J144" s="6"/>
    </row>
    <row r="145" spans="2:10" x14ac:dyDescent="0.2">
      <c r="B145" s="11" t="str">
        <f>Stocuri!B145</f>
        <v/>
      </c>
      <c r="C145" s="10" t="str">
        <f>Stocuri!C145</f>
        <v/>
      </c>
      <c r="D145" s="11" t="str">
        <f>Stocuri!E145</f>
        <v/>
      </c>
      <c r="E145" s="11" t="str">
        <f>IF(B145="","",Produse!L145)</f>
        <v/>
      </c>
      <c r="F145" s="17" t="str">
        <f>Stocuri!F145</f>
        <v/>
      </c>
      <c r="G145" s="16"/>
      <c r="H145" s="17" t="str">
        <f t="shared" si="4"/>
        <v/>
      </c>
      <c r="I145" s="18" t="str">
        <f>IF(H145="","",ROUND(H145*Stocuri!G145,2))</f>
        <v/>
      </c>
      <c r="J145" s="6"/>
    </row>
    <row r="146" spans="2:10" x14ac:dyDescent="0.2">
      <c r="B146" s="11" t="str">
        <f>Stocuri!B146</f>
        <v/>
      </c>
      <c r="C146" s="10" t="str">
        <f>Stocuri!C146</f>
        <v/>
      </c>
      <c r="D146" s="11" t="str">
        <f>Stocuri!E146</f>
        <v/>
      </c>
      <c r="E146" s="11" t="str">
        <f>IF(B146="","",Produse!L146)</f>
        <v/>
      </c>
      <c r="F146" s="17" t="str">
        <f>Stocuri!F146</f>
        <v/>
      </c>
      <c r="G146" s="16"/>
      <c r="H146" s="17" t="str">
        <f t="shared" si="4"/>
        <v/>
      </c>
      <c r="I146" s="18" t="str">
        <f>IF(H146="","",ROUND(H146*Stocuri!G146,2))</f>
        <v/>
      </c>
      <c r="J146" s="6"/>
    </row>
    <row r="147" spans="2:10" x14ac:dyDescent="0.2">
      <c r="B147" s="11" t="str">
        <f>Stocuri!B147</f>
        <v/>
      </c>
      <c r="C147" s="10" t="str">
        <f>Stocuri!C147</f>
        <v/>
      </c>
      <c r="D147" s="11" t="str">
        <f>Stocuri!E147</f>
        <v/>
      </c>
      <c r="E147" s="11" t="str">
        <f>IF(B147="","",Produse!L147)</f>
        <v/>
      </c>
      <c r="F147" s="17" t="str">
        <f>Stocuri!F147</f>
        <v/>
      </c>
      <c r="G147" s="16"/>
      <c r="H147" s="17" t="str">
        <f t="shared" si="4"/>
        <v/>
      </c>
      <c r="I147" s="18" t="str">
        <f>IF(H147="","",ROUND(H147*Stocuri!G147,2))</f>
        <v/>
      </c>
      <c r="J147" s="6"/>
    </row>
    <row r="148" spans="2:10" x14ac:dyDescent="0.2">
      <c r="B148" s="11" t="str">
        <f>Stocuri!B148</f>
        <v/>
      </c>
      <c r="C148" s="10" t="str">
        <f>Stocuri!C148</f>
        <v/>
      </c>
      <c r="D148" s="11" t="str">
        <f>Stocuri!E148</f>
        <v/>
      </c>
      <c r="E148" s="11" t="str">
        <f>IF(B148="","",Produse!L148)</f>
        <v/>
      </c>
      <c r="F148" s="17" t="str">
        <f>Stocuri!F148</f>
        <v/>
      </c>
      <c r="G148" s="16"/>
      <c r="H148" s="17" t="str">
        <f t="shared" si="4"/>
        <v/>
      </c>
      <c r="I148" s="18" t="str">
        <f>IF(H148="","",ROUND(H148*Stocuri!G148,2))</f>
        <v/>
      </c>
      <c r="J148" s="6"/>
    </row>
    <row r="149" spans="2:10" x14ac:dyDescent="0.2">
      <c r="B149" s="11" t="str">
        <f>Stocuri!B149</f>
        <v/>
      </c>
      <c r="C149" s="10" t="str">
        <f>Stocuri!C149</f>
        <v/>
      </c>
      <c r="D149" s="11" t="str">
        <f>Stocuri!E149</f>
        <v/>
      </c>
      <c r="E149" s="11" t="str">
        <f>IF(B149="","",Produse!L149)</f>
        <v/>
      </c>
      <c r="F149" s="17" t="str">
        <f>Stocuri!F149</f>
        <v/>
      </c>
      <c r="G149" s="16"/>
      <c r="H149" s="17" t="str">
        <f t="shared" si="4"/>
        <v/>
      </c>
      <c r="I149" s="18" t="str">
        <f>IF(H149="","",ROUND(H149*Stocuri!G149,2))</f>
        <v/>
      </c>
      <c r="J149" s="6"/>
    </row>
    <row r="150" spans="2:10" x14ac:dyDescent="0.2">
      <c r="B150" s="11" t="str">
        <f>Stocuri!B150</f>
        <v/>
      </c>
      <c r="C150" s="10" t="str">
        <f>Stocuri!C150</f>
        <v/>
      </c>
      <c r="D150" s="11" t="str">
        <f>Stocuri!E150</f>
        <v/>
      </c>
      <c r="E150" s="11" t="str">
        <f>IF(B150="","",Produse!L150)</f>
        <v/>
      </c>
      <c r="F150" s="17" t="str">
        <f>Stocuri!F150</f>
        <v/>
      </c>
      <c r="G150" s="16"/>
      <c r="H150" s="17" t="str">
        <f t="shared" si="4"/>
        <v/>
      </c>
      <c r="I150" s="18" t="str">
        <f>IF(H150="","",ROUND(H150*Stocuri!G150,2))</f>
        <v/>
      </c>
      <c r="J150" s="6"/>
    </row>
    <row r="151" spans="2:10" x14ac:dyDescent="0.2">
      <c r="B151" s="11" t="str">
        <f>Stocuri!B151</f>
        <v/>
      </c>
      <c r="C151" s="10" t="str">
        <f>Stocuri!C151</f>
        <v/>
      </c>
      <c r="D151" s="11" t="str">
        <f>Stocuri!E151</f>
        <v/>
      </c>
      <c r="E151" s="11" t="str">
        <f>IF(B151="","",Produse!L151)</f>
        <v/>
      </c>
      <c r="F151" s="17" t="str">
        <f>Stocuri!F151</f>
        <v/>
      </c>
      <c r="G151" s="16"/>
      <c r="H151" s="17" t="str">
        <f t="shared" si="4"/>
        <v/>
      </c>
      <c r="I151" s="18" t="str">
        <f>IF(H151="","",ROUND(H151*Stocuri!G151,2))</f>
        <v/>
      </c>
      <c r="J151" s="6"/>
    </row>
    <row r="152" spans="2:10" x14ac:dyDescent="0.2">
      <c r="B152" s="11" t="str">
        <f>Stocuri!B152</f>
        <v/>
      </c>
      <c r="C152" s="10" t="str">
        <f>Stocuri!C152</f>
        <v/>
      </c>
      <c r="D152" s="11" t="str">
        <f>Stocuri!E152</f>
        <v/>
      </c>
      <c r="E152" s="11" t="str">
        <f>IF(B152="","",Produse!L152)</f>
        <v/>
      </c>
      <c r="F152" s="17" t="str">
        <f>Stocuri!F152</f>
        <v/>
      </c>
      <c r="G152" s="16"/>
      <c r="H152" s="17" t="str">
        <f t="shared" si="4"/>
        <v/>
      </c>
      <c r="I152" s="18" t="str">
        <f>IF(H152="","",ROUND(H152*Stocuri!G152,2))</f>
        <v/>
      </c>
      <c r="J152" s="6"/>
    </row>
    <row r="153" spans="2:10" x14ac:dyDescent="0.2">
      <c r="B153" s="11" t="str">
        <f>Stocuri!B153</f>
        <v/>
      </c>
      <c r="C153" s="10" t="str">
        <f>Stocuri!C153</f>
        <v/>
      </c>
      <c r="D153" s="11" t="str">
        <f>Stocuri!E153</f>
        <v/>
      </c>
      <c r="E153" s="11" t="str">
        <f>IF(B153="","",Produse!L153)</f>
        <v/>
      </c>
      <c r="F153" s="17" t="str">
        <f>Stocuri!F153</f>
        <v/>
      </c>
      <c r="G153" s="16"/>
      <c r="H153" s="17" t="str">
        <f t="shared" si="4"/>
        <v/>
      </c>
      <c r="I153" s="18" t="str">
        <f>IF(H153="","",ROUND(H153*Stocuri!G153,2))</f>
        <v/>
      </c>
      <c r="J153" s="6"/>
    </row>
    <row r="154" spans="2:10" x14ac:dyDescent="0.2">
      <c r="B154" s="11" t="str">
        <f>Stocuri!B154</f>
        <v/>
      </c>
      <c r="C154" s="10" t="str">
        <f>Stocuri!C154</f>
        <v/>
      </c>
      <c r="D154" s="11" t="str">
        <f>Stocuri!E154</f>
        <v/>
      </c>
      <c r="E154" s="11" t="str">
        <f>IF(B154="","",Produse!L154)</f>
        <v/>
      </c>
      <c r="F154" s="17" t="str">
        <f>Stocuri!F154</f>
        <v/>
      </c>
      <c r="G154" s="16"/>
      <c r="H154" s="17" t="str">
        <f t="shared" si="4"/>
        <v/>
      </c>
      <c r="I154" s="18" t="str">
        <f>IF(H154="","",ROUND(H154*Stocuri!G154,2))</f>
        <v/>
      </c>
      <c r="J154" s="6"/>
    </row>
    <row r="155" spans="2:10" x14ac:dyDescent="0.2">
      <c r="B155" s="11" t="str">
        <f>Stocuri!B155</f>
        <v/>
      </c>
      <c r="C155" s="10" t="str">
        <f>Stocuri!C155</f>
        <v/>
      </c>
      <c r="D155" s="11" t="str">
        <f>Stocuri!E155</f>
        <v/>
      </c>
      <c r="E155" s="11" t="str">
        <f>IF(B155="","",Produse!L155)</f>
        <v/>
      </c>
      <c r="F155" s="17" t="str">
        <f>Stocuri!F155</f>
        <v/>
      </c>
      <c r="G155" s="16"/>
      <c r="H155" s="17" t="str">
        <f t="shared" si="4"/>
        <v/>
      </c>
      <c r="I155" s="18" t="str">
        <f>IF(H155="","",ROUND(H155*Stocuri!G155,2))</f>
        <v/>
      </c>
      <c r="J155" s="6"/>
    </row>
    <row r="156" spans="2:10" x14ac:dyDescent="0.2">
      <c r="B156" s="11" t="str">
        <f>Stocuri!B156</f>
        <v/>
      </c>
      <c r="C156" s="10" t="str">
        <f>Stocuri!C156</f>
        <v/>
      </c>
      <c r="D156" s="11" t="str">
        <f>Stocuri!E156</f>
        <v/>
      </c>
      <c r="E156" s="11" t="str">
        <f>IF(B156="","",Produse!L156)</f>
        <v/>
      </c>
      <c r="F156" s="17" t="str">
        <f>Stocuri!F156</f>
        <v/>
      </c>
      <c r="G156" s="16"/>
      <c r="H156" s="17" t="str">
        <f t="shared" si="4"/>
        <v/>
      </c>
      <c r="I156" s="18" t="str">
        <f>IF(H156="","",ROUND(H156*Stocuri!G156,2))</f>
        <v/>
      </c>
      <c r="J156" s="6"/>
    </row>
    <row r="157" spans="2:10" x14ac:dyDescent="0.2">
      <c r="B157" s="11" t="str">
        <f>Stocuri!B157</f>
        <v/>
      </c>
      <c r="C157" s="10" t="str">
        <f>Stocuri!C157</f>
        <v/>
      </c>
      <c r="D157" s="11" t="str">
        <f>Stocuri!E157</f>
        <v/>
      </c>
      <c r="E157" s="11" t="str">
        <f>IF(B157="","",Produse!L157)</f>
        <v/>
      </c>
      <c r="F157" s="17" t="str">
        <f>Stocuri!F157</f>
        <v/>
      </c>
      <c r="G157" s="16"/>
      <c r="H157" s="17" t="str">
        <f t="shared" si="4"/>
        <v/>
      </c>
      <c r="I157" s="18" t="str">
        <f>IF(H157="","",ROUND(H157*Stocuri!G157,2))</f>
        <v/>
      </c>
      <c r="J157" s="6"/>
    </row>
    <row r="158" spans="2:10" x14ac:dyDescent="0.2">
      <c r="B158" s="11" t="str">
        <f>Stocuri!B158</f>
        <v/>
      </c>
      <c r="C158" s="10" t="str">
        <f>Stocuri!C158</f>
        <v/>
      </c>
      <c r="D158" s="11" t="str">
        <f>Stocuri!E158</f>
        <v/>
      </c>
      <c r="E158" s="11" t="str">
        <f>IF(B158="","",Produse!L158)</f>
        <v/>
      </c>
      <c r="F158" s="17" t="str">
        <f>Stocuri!F158</f>
        <v/>
      </c>
      <c r="G158" s="16"/>
      <c r="H158" s="17" t="str">
        <f t="shared" si="4"/>
        <v/>
      </c>
      <c r="I158" s="18" t="str">
        <f>IF(H158="","",ROUND(H158*Stocuri!G158,2))</f>
        <v/>
      </c>
      <c r="J158" s="6"/>
    </row>
    <row r="159" spans="2:10" x14ac:dyDescent="0.2">
      <c r="B159" s="11" t="str">
        <f>Stocuri!B159</f>
        <v/>
      </c>
      <c r="C159" s="10" t="str">
        <f>Stocuri!C159</f>
        <v/>
      </c>
      <c r="D159" s="11" t="str">
        <f>Stocuri!E159</f>
        <v/>
      </c>
      <c r="E159" s="11" t="str">
        <f>IF(B159="","",Produse!L159)</f>
        <v/>
      </c>
      <c r="F159" s="17" t="str">
        <f>Stocuri!F159</f>
        <v/>
      </c>
      <c r="G159" s="16"/>
      <c r="H159" s="17" t="str">
        <f t="shared" si="4"/>
        <v/>
      </c>
      <c r="I159" s="18" t="str">
        <f>IF(H159="","",ROUND(H159*Stocuri!G159,2))</f>
        <v/>
      </c>
      <c r="J159" s="6"/>
    </row>
    <row r="160" spans="2:10" x14ac:dyDescent="0.2">
      <c r="B160" s="11" t="str">
        <f>Stocuri!B160</f>
        <v/>
      </c>
      <c r="C160" s="10" t="str">
        <f>Stocuri!C160</f>
        <v/>
      </c>
      <c r="D160" s="11" t="str">
        <f>Stocuri!E160</f>
        <v/>
      </c>
      <c r="E160" s="11" t="str">
        <f>IF(B160="","",Produse!L160)</f>
        <v/>
      </c>
      <c r="F160" s="17" t="str">
        <f>Stocuri!F160</f>
        <v/>
      </c>
      <c r="G160" s="16"/>
      <c r="H160" s="17" t="str">
        <f t="shared" si="4"/>
        <v/>
      </c>
      <c r="I160" s="18" t="str">
        <f>IF(H160="","",ROUND(H160*Stocuri!G160,2))</f>
        <v/>
      </c>
      <c r="J160" s="6"/>
    </row>
    <row r="161" spans="2:10" x14ac:dyDescent="0.2">
      <c r="B161" s="11" t="str">
        <f>Stocuri!B161</f>
        <v/>
      </c>
      <c r="C161" s="10" t="str">
        <f>Stocuri!C161</f>
        <v/>
      </c>
      <c r="D161" s="11" t="str">
        <f>Stocuri!E161</f>
        <v/>
      </c>
      <c r="E161" s="11" t="str">
        <f>IF(B161="","",Produse!L161)</f>
        <v/>
      </c>
      <c r="F161" s="17" t="str">
        <f>Stocuri!F161</f>
        <v/>
      </c>
      <c r="G161" s="16"/>
      <c r="H161" s="17" t="str">
        <f t="shared" si="4"/>
        <v/>
      </c>
      <c r="I161" s="18" t="str">
        <f>IF(H161="","",ROUND(H161*Stocuri!G161,2))</f>
        <v/>
      </c>
      <c r="J161" s="6"/>
    </row>
    <row r="162" spans="2:10" x14ac:dyDescent="0.2">
      <c r="B162" s="11" t="str">
        <f>Stocuri!B162</f>
        <v/>
      </c>
      <c r="C162" s="10" t="str">
        <f>Stocuri!C162</f>
        <v/>
      </c>
      <c r="D162" s="11" t="str">
        <f>Stocuri!E162</f>
        <v/>
      </c>
      <c r="E162" s="11" t="str">
        <f>IF(B162="","",Produse!L162)</f>
        <v/>
      </c>
      <c r="F162" s="17" t="str">
        <f>Stocuri!F162</f>
        <v/>
      </c>
      <c r="G162" s="16"/>
      <c r="H162" s="17" t="str">
        <f t="shared" si="4"/>
        <v/>
      </c>
      <c r="I162" s="18" t="str">
        <f>IF(H162="","",ROUND(H162*Stocuri!G162,2))</f>
        <v/>
      </c>
      <c r="J162" s="6"/>
    </row>
    <row r="163" spans="2:10" x14ac:dyDescent="0.2">
      <c r="B163" s="11" t="str">
        <f>Stocuri!B163</f>
        <v/>
      </c>
      <c r="C163" s="10" t="str">
        <f>Stocuri!C163</f>
        <v/>
      </c>
      <c r="D163" s="11" t="str">
        <f>Stocuri!E163</f>
        <v/>
      </c>
      <c r="E163" s="11" t="str">
        <f>IF(B163="","",Produse!L163)</f>
        <v/>
      </c>
      <c r="F163" s="17" t="str">
        <f>Stocuri!F163</f>
        <v/>
      </c>
      <c r="G163" s="16"/>
      <c r="H163" s="17" t="str">
        <f t="shared" si="4"/>
        <v/>
      </c>
      <c r="I163" s="18" t="str">
        <f>IF(H163="","",ROUND(H163*Stocuri!G163,2))</f>
        <v/>
      </c>
      <c r="J163" s="6"/>
    </row>
    <row r="164" spans="2:10" x14ac:dyDescent="0.2">
      <c r="B164" s="11" t="str">
        <f>Stocuri!B164</f>
        <v/>
      </c>
      <c r="C164" s="10" t="str">
        <f>Stocuri!C164</f>
        <v/>
      </c>
      <c r="D164" s="11" t="str">
        <f>Stocuri!E164</f>
        <v/>
      </c>
      <c r="E164" s="11" t="str">
        <f>IF(B164="","",Produse!L164)</f>
        <v/>
      </c>
      <c r="F164" s="17" t="str">
        <f>Stocuri!F164</f>
        <v/>
      </c>
      <c r="G164" s="16"/>
      <c r="H164" s="17" t="str">
        <f t="shared" si="4"/>
        <v/>
      </c>
      <c r="I164" s="18" t="str">
        <f>IF(H164="","",ROUND(H164*Stocuri!G164,2))</f>
        <v/>
      </c>
      <c r="J164" s="6"/>
    </row>
    <row r="165" spans="2:10" x14ac:dyDescent="0.2">
      <c r="B165" s="11" t="str">
        <f>Stocuri!B165</f>
        <v/>
      </c>
      <c r="C165" s="10" t="str">
        <f>Stocuri!C165</f>
        <v/>
      </c>
      <c r="D165" s="11" t="str">
        <f>Stocuri!E165</f>
        <v/>
      </c>
      <c r="E165" s="11" t="str">
        <f>IF(B165="","",Produse!L165)</f>
        <v/>
      </c>
      <c r="F165" s="17" t="str">
        <f>Stocuri!F165</f>
        <v/>
      </c>
      <c r="G165" s="16"/>
      <c r="H165" s="17" t="str">
        <f t="shared" ref="H165:H196" si="5">IF(OR(B165="",G165=""),"",G165-F165)</f>
        <v/>
      </c>
      <c r="I165" s="18" t="str">
        <f>IF(H165="","",ROUND(H165*Stocuri!G165,2))</f>
        <v/>
      </c>
      <c r="J165" s="6"/>
    </row>
    <row r="166" spans="2:10" x14ac:dyDescent="0.2">
      <c r="B166" s="11" t="str">
        <f>Stocuri!B166</f>
        <v/>
      </c>
      <c r="C166" s="10" t="str">
        <f>Stocuri!C166</f>
        <v/>
      </c>
      <c r="D166" s="11" t="str">
        <f>Stocuri!E166</f>
        <v/>
      </c>
      <c r="E166" s="11" t="str">
        <f>IF(B166="","",Produse!L166)</f>
        <v/>
      </c>
      <c r="F166" s="17" t="str">
        <f>Stocuri!F166</f>
        <v/>
      </c>
      <c r="G166" s="16"/>
      <c r="H166" s="17" t="str">
        <f t="shared" si="5"/>
        <v/>
      </c>
      <c r="I166" s="18" t="str">
        <f>IF(H166="","",ROUND(H166*Stocuri!G166,2))</f>
        <v/>
      </c>
      <c r="J166" s="6"/>
    </row>
    <row r="167" spans="2:10" x14ac:dyDescent="0.2">
      <c r="B167" s="11" t="str">
        <f>Stocuri!B167</f>
        <v/>
      </c>
      <c r="C167" s="10" t="str">
        <f>Stocuri!C167</f>
        <v/>
      </c>
      <c r="D167" s="11" t="str">
        <f>Stocuri!E167</f>
        <v/>
      </c>
      <c r="E167" s="11" t="str">
        <f>IF(B167="","",Produse!L167)</f>
        <v/>
      </c>
      <c r="F167" s="17" t="str">
        <f>Stocuri!F167</f>
        <v/>
      </c>
      <c r="G167" s="16"/>
      <c r="H167" s="17" t="str">
        <f t="shared" si="5"/>
        <v/>
      </c>
      <c r="I167" s="18" t="str">
        <f>IF(H167="","",ROUND(H167*Stocuri!G167,2))</f>
        <v/>
      </c>
      <c r="J167" s="6"/>
    </row>
    <row r="168" spans="2:10" x14ac:dyDescent="0.2">
      <c r="B168" s="11" t="str">
        <f>Stocuri!B168</f>
        <v/>
      </c>
      <c r="C168" s="10" t="str">
        <f>Stocuri!C168</f>
        <v/>
      </c>
      <c r="D168" s="11" t="str">
        <f>Stocuri!E168</f>
        <v/>
      </c>
      <c r="E168" s="11" t="str">
        <f>IF(B168="","",Produse!L168)</f>
        <v/>
      </c>
      <c r="F168" s="17" t="str">
        <f>Stocuri!F168</f>
        <v/>
      </c>
      <c r="G168" s="16"/>
      <c r="H168" s="17" t="str">
        <f t="shared" si="5"/>
        <v/>
      </c>
      <c r="I168" s="18" t="str">
        <f>IF(H168="","",ROUND(H168*Stocuri!G168,2))</f>
        <v/>
      </c>
      <c r="J168" s="6"/>
    </row>
    <row r="169" spans="2:10" x14ac:dyDescent="0.2">
      <c r="B169" s="11" t="str">
        <f>Stocuri!B169</f>
        <v/>
      </c>
      <c r="C169" s="10" t="str">
        <f>Stocuri!C169</f>
        <v/>
      </c>
      <c r="D169" s="11" t="str">
        <f>Stocuri!E169</f>
        <v/>
      </c>
      <c r="E169" s="11" t="str">
        <f>IF(B169="","",Produse!L169)</f>
        <v/>
      </c>
      <c r="F169" s="17" t="str">
        <f>Stocuri!F169</f>
        <v/>
      </c>
      <c r="G169" s="16"/>
      <c r="H169" s="17" t="str">
        <f t="shared" si="5"/>
        <v/>
      </c>
      <c r="I169" s="18" t="str">
        <f>IF(H169="","",ROUND(H169*Stocuri!G169,2))</f>
        <v/>
      </c>
      <c r="J169" s="6"/>
    </row>
    <row r="170" spans="2:10" x14ac:dyDescent="0.2">
      <c r="B170" s="11" t="str">
        <f>Stocuri!B170</f>
        <v/>
      </c>
      <c r="C170" s="10" t="str">
        <f>Stocuri!C170</f>
        <v/>
      </c>
      <c r="D170" s="11" t="str">
        <f>Stocuri!E170</f>
        <v/>
      </c>
      <c r="E170" s="11" t="str">
        <f>IF(B170="","",Produse!L170)</f>
        <v/>
      </c>
      <c r="F170" s="17" t="str">
        <f>Stocuri!F170</f>
        <v/>
      </c>
      <c r="G170" s="16"/>
      <c r="H170" s="17" t="str">
        <f t="shared" si="5"/>
        <v/>
      </c>
      <c r="I170" s="18" t="str">
        <f>IF(H170="","",ROUND(H170*Stocuri!G170,2))</f>
        <v/>
      </c>
      <c r="J170" s="6"/>
    </row>
    <row r="171" spans="2:10" x14ac:dyDescent="0.2">
      <c r="B171" s="11" t="str">
        <f>Stocuri!B171</f>
        <v/>
      </c>
      <c r="C171" s="10" t="str">
        <f>Stocuri!C171</f>
        <v/>
      </c>
      <c r="D171" s="11" t="str">
        <f>Stocuri!E171</f>
        <v/>
      </c>
      <c r="E171" s="11" t="str">
        <f>IF(B171="","",Produse!L171)</f>
        <v/>
      </c>
      <c r="F171" s="17" t="str">
        <f>Stocuri!F171</f>
        <v/>
      </c>
      <c r="G171" s="16"/>
      <c r="H171" s="17" t="str">
        <f t="shared" si="5"/>
        <v/>
      </c>
      <c r="I171" s="18" t="str">
        <f>IF(H171="","",ROUND(H171*Stocuri!G171,2))</f>
        <v/>
      </c>
      <c r="J171" s="6"/>
    </row>
    <row r="172" spans="2:10" x14ac:dyDescent="0.2">
      <c r="B172" s="11" t="str">
        <f>Stocuri!B172</f>
        <v/>
      </c>
      <c r="C172" s="10" t="str">
        <f>Stocuri!C172</f>
        <v/>
      </c>
      <c r="D172" s="11" t="str">
        <f>Stocuri!E172</f>
        <v/>
      </c>
      <c r="E172" s="11" t="str">
        <f>IF(B172="","",Produse!L172)</f>
        <v/>
      </c>
      <c r="F172" s="17" t="str">
        <f>Stocuri!F172</f>
        <v/>
      </c>
      <c r="G172" s="16"/>
      <c r="H172" s="17" t="str">
        <f t="shared" si="5"/>
        <v/>
      </c>
      <c r="I172" s="18" t="str">
        <f>IF(H172="","",ROUND(H172*Stocuri!G172,2))</f>
        <v/>
      </c>
      <c r="J172" s="6"/>
    </row>
    <row r="173" spans="2:10" x14ac:dyDescent="0.2">
      <c r="B173" s="11" t="str">
        <f>Stocuri!B173</f>
        <v/>
      </c>
      <c r="C173" s="10" t="str">
        <f>Stocuri!C173</f>
        <v/>
      </c>
      <c r="D173" s="11" t="str">
        <f>Stocuri!E173</f>
        <v/>
      </c>
      <c r="E173" s="11" t="str">
        <f>IF(B173="","",Produse!L173)</f>
        <v/>
      </c>
      <c r="F173" s="17" t="str">
        <f>Stocuri!F173</f>
        <v/>
      </c>
      <c r="G173" s="16"/>
      <c r="H173" s="17" t="str">
        <f t="shared" si="5"/>
        <v/>
      </c>
      <c r="I173" s="18" t="str">
        <f>IF(H173="","",ROUND(H173*Stocuri!G173,2))</f>
        <v/>
      </c>
      <c r="J173" s="6"/>
    </row>
    <row r="174" spans="2:10" x14ac:dyDescent="0.2">
      <c r="B174" s="11" t="str">
        <f>Stocuri!B174</f>
        <v/>
      </c>
      <c r="C174" s="10" t="str">
        <f>Stocuri!C174</f>
        <v/>
      </c>
      <c r="D174" s="11" t="str">
        <f>Stocuri!E174</f>
        <v/>
      </c>
      <c r="E174" s="11" t="str">
        <f>IF(B174="","",Produse!L174)</f>
        <v/>
      </c>
      <c r="F174" s="17" t="str">
        <f>Stocuri!F174</f>
        <v/>
      </c>
      <c r="G174" s="16"/>
      <c r="H174" s="17" t="str">
        <f t="shared" si="5"/>
        <v/>
      </c>
      <c r="I174" s="18" t="str">
        <f>IF(H174="","",ROUND(H174*Stocuri!G174,2))</f>
        <v/>
      </c>
      <c r="J174" s="6"/>
    </row>
    <row r="175" spans="2:10" x14ac:dyDescent="0.2">
      <c r="B175" s="11" t="str">
        <f>Stocuri!B175</f>
        <v/>
      </c>
      <c r="C175" s="10" t="str">
        <f>Stocuri!C175</f>
        <v/>
      </c>
      <c r="D175" s="11" t="str">
        <f>Stocuri!E175</f>
        <v/>
      </c>
      <c r="E175" s="11" t="str">
        <f>IF(B175="","",Produse!L175)</f>
        <v/>
      </c>
      <c r="F175" s="17" t="str">
        <f>Stocuri!F175</f>
        <v/>
      </c>
      <c r="G175" s="16"/>
      <c r="H175" s="17" t="str">
        <f t="shared" si="5"/>
        <v/>
      </c>
      <c r="I175" s="18" t="str">
        <f>IF(H175="","",ROUND(H175*Stocuri!G175,2))</f>
        <v/>
      </c>
      <c r="J175" s="6"/>
    </row>
    <row r="176" spans="2:10" x14ac:dyDescent="0.2">
      <c r="B176" s="11" t="str">
        <f>Stocuri!B176</f>
        <v/>
      </c>
      <c r="C176" s="10" t="str">
        <f>Stocuri!C176</f>
        <v/>
      </c>
      <c r="D176" s="11" t="str">
        <f>Stocuri!E176</f>
        <v/>
      </c>
      <c r="E176" s="11" t="str">
        <f>IF(B176="","",Produse!L176)</f>
        <v/>
      </c>
      <c r="F176" s="17" t="str">
        <f>Stocuri!F176</f>
        <v/>
      </c>
      <c r="G176" s="16"/>
      <c r="H176" s="17" t="str">
        <f t="shared" si="5"/>
        <v/>
      </c>
      <c r="I176" s="18" t="str">
        <f>IF(H176="","",ROUND(H176*Stocuri!G176,2))</f>
        <v/>
      </c>
      <c r="J176" s="6"/>
    </row>
    <row r="177" spans="2:10" x14ac:dyDescent="0.2">
      <c r="B177" s="11" t="str">
        <f>Stocuri!B177</f>
        <v/>
      </c>
      <c r="C177" s="10" t="str">
        <f>Stocuri!C177</f>
        <v/>
      </c>
      <c r="D177" s="11" t="str">
        <f>Stocuri!E177</f>
        <v/>
      </c>
      <c r="E177" s="11" t="str">
        <f>IF(B177="","",Produse!L177)</f>
        <v/>
      </c>
      <c r="F177" s="17" t="str">
        <f>Stocuri!F177</f>
        <v/>
      </c>
      <c r="G177" s="16"/>
      <c r="H177" s="17" t="str">
        <f t="shared" si="5"/>
        <v/>
      </c>
      <c r="I177" s="18" t="str">
        <f>IF(H177="","",ROUND(H177*Stocuri!G177,2))</f>
        <v/>
      </c>
      <c r="J177" s="6"/>
    </row>
    <row r="178" spans="2:10" x14ac:dyDescent="0.2">
      <c r="B178" s="11" t="str">
        <f>Stocuri!B178</f>
        <v/>
      </c>
      <c r="C178" s="10" t="str">
        <f>Stocuri!C178</f>
        <v/>
      </c>
      <c r="D178" s="11" t="str">
        <f>Stocuri!E178</f>
        <v/>
      </c>
      <c r="E178" s="11" t="str">
        <f>IF(B178="","",Produse!L178)</f>
        <v/>
      </c>
      <c r="F178" s="17" t="str">
        <f>Stocuri!F178</f>
        <v/>
      </c>
      <c r="G178" s="16"/>
      <c r="H178" s="17" t="str">
        <f t="shared" si="5"/>
        <v/>
      </c>
      <c r="I178" s="18" t="str">
        <f>IF(H178="","",ROUND(H178*Stocuri!G178,2))</f>
        <v/>
      </c>
      <c r="J178" s="6"/>
    </row>
    <row r="179" spans="2:10" x14ac:dyDescent="0.2">
      <c r="B179" s="11" t="str">
        <f>Stocuri!B179</f>
        <v/>
      </c>
      <c r="C179" s="10" t="str">
        <f>Stocuri!C179</f>
        <v/>
      </c>
      <c r="D179" s="11" t="str">
        <f>Stocuri!E179</f>
        <v/>
      </c>
      <c r="E179" s="11" t="str">
        <f>IF(B179="","",Produse!L179)</f>
        <v/>
      </c>
      <c r="F179" s="17" t="str">
        <f>Stocuri!F179</f>
        <v/>
      </c>
      <c r="G179" s="16"/>
      <c r="H179" s="17" t="str">
        <f t="shared" si="5"/>
        <v/>
      </c>
      <c r="I179" s="18" t="str">
        <f>IF(H179="","",ROUND(H179*Stocuri!G179,2))</f>
        <v/>
      </c>
      <c r="J179" s="6"/>
    </row>
    <row r="180" spans="2:10" x14ac:dyDescent="0.2">
      <c r="B180" s="11" t="str">
        <f>Stocuri!B180</f>
        <v/>
      </c>
      <c r="C180" s="10" t="str">
        <f>Stocuri!C180</f>
        <v/>
      </c>
      <c r="D180" s="11" t="str">
        <f>Stocuri!E180</f>
        <v/>
      </c>
      <c r="E180" s="11" t="str">
        <f>IF(B180="","",Produse!L180)</f>
        <v/>
      </c>
      <c r="F180" s="17" t="str">
        <f>Stocuri!F180</f>
        <v/>
      </c>
      <c r="G180" s="16"/>
      <c r="H180" s="17" t="str">
        <f t="shared" si="5"/>
        <v/>
      </c>
      <c r="I180" s="18" t="str">
        <f>IF(H180="","",ROUND(H180*Stocuri!G180,2))</f>
        <v/>
      </c>
      <c r="J180" s="6"/>
    </row>
    <row r="181" spans="2:10" x14ac:dyDescent="0.2">
      <c r="B181" s="11" t="str">
        <f>Stocuri!B181</f>
        <v/>
      </c>
      <c r="C181" s="10" t="str">
        <f>Stocuri!C181</f>
        <v/>
      </c>
      <c r="D181" s="11" t="str">
        <f>Stocuri!E181</f>
        <v/>
      </c>
      <c r="E181" s="11" t="str">
        <f>IF(B181="","",Produse!L181)</f>
        <v/>
      </c>
      <c r="F181" s="17" t="str">
        <f>Stocuri!F181</f>
        <v/>
      </c>
      <c r="G181" s="16"/>
      <c r="H181" s="17" t="str">
        <f t="shared" si="5"/>
        <v/>
      </c>
      <c r="I181" s="18" t="str">
        <f>IF(H181="","",ROUND(H181*Stocuri!G181,2))</f>
        <v/>
      </c>
      <c r="J181" s="6"/>
    </row>
    <row r="182" spans="2:10" x14ac:dyDescent="0.2">
      <c r="B182" s="11" t="str">
        <f>Stocuri!B182</f>
        <v/>
      </c>
      <c r="C182" s="10" t="str">
        <f>Stocuri!C182</f>
        <v/>
      </c>
      <c r="D182" s="11" t="str">
        <f>Stocuri!E182</f>
        <v/>
      </c>
      <c r="E182" s="11" t="str">
        <f>IF(B182="","",Produse!L182)</f>
        <v/>
      </c>
      <c r="F182" s="17" t="str">
        <f>Stocuri!F182</f>
        <v/>
      </c>
      <c r="G182" s="16"/>
      <c r="H182" s="17" t="str">
        <f t="shared" si="5"/>
        <v/>
      </c>
      <c r="I182" s="18" t="str">
        <f>IF(H182="","",ROUND(H182*Stocuri!G182,2))</f>
        <v/>
      </c>
      <c r="J182" s="6"/>
    </row>
    <row r="183" spans="2:10" x14ac:dyDescent="0.2">
      <c r="B183" s="11" t="str">
        <f>Stocuri!B183</f>
        <v/>
      </c>
      <c r="C183" s="10" t="str">
        <f>Stocuri!C183</f>
        <v/>
      </c>
      <c r="D183" s="11" t="str">
        <f>Stocuri!E183</f>
        <v/>
      </c>
      <c r="E183" s="11" t="str">
        <f>IF(B183="","",Produse!L183)</f>
        <v/>
      </c>
      <c r="F183" s="17" t="str">
        <f>Stocuri!F183</f>
        <v/>
      </c>
      <c r="G183" s="16"/>
      <c r="H183" s="17" t="str">
        <f t="shared" si="5"/>
        <v/>
      </c>
      <c r="I183" s="18" t="str">
        <f>IF(H183="","",ROUND(H183*Stocuri!G183,2))</f>
        <v/>
      </c>
      <c r="J183" s="6"/>
    </row>
    <row r="184" spans="2:10" x14ac:dyDescent="0.2">
      <c r="B184" s="11" t="str">
        <f>Stocuri!B184</f>
        <v/>
      </c>
      <c r="C184" s="10" t="str">
        <f>Stocuri!C184</f>
        <v/>
      </c>
      <c r="D184" s="11" t="str">
        <f>Stocuri!E184</f>
        <v/>
      </c>
      <c r="E184" s="11" t="str">
        <f>IF(B184="","",Produse!L184)</f>
        <v/>
      </c>
      <c r="F184" s="17" t="str">
        <f>Stocuri!F184</f>
        <v/>
      </c>
      <c r="G184" s="16"/>
      <c r="H184" s="17" t="str">
        <f t="shared" si="5"/>
        <v/>
      </c>
      <c r="I184" s="18" t="str">
        <f>IF(H184="","",ROUND(H184*Stocuri!G184,2))</f>
        <v/>
      </c>
      <c r="J184" s="6"/>
    </row>
    <row r="185" spans="2:10" x14ac:dyDescent="0.2">
      <c r="B185" s="11" t="str">
        <f>Stocuri!B185</f>
        <v/>
      </c>
      <c r="C185" s="10" t="str">
        <f>Stocuri!C185</f>
        <v/>
      </c>
      <c r="D185" s="11" t="str">
        <f>Stocuri!E185</f>
        <v/>
      </c>
      <c r="E185" s="11" t="str">
        <f>IF(B185="","",Produse!L185)</f>
        <v/>
      </c>
      <c r="F185" s="17" t="str">
        <f>Stocuri!F185</f>
        <v/>
      </c>
      <c r="G185" s="16"/>
      <c r="H185" s="17" t="str">
        <f t="shared" si="5"/>
        <v/>
      </c>
      <c r="I185" s="18" t="str">
        <f>IF(H185="","",ROUND(H185*Stocuri!G185,2))</f>
        <v/>
      </c>
      <c r="J185" s="6"/>
    </row>
    <row r="186" spans="2:10" x14ac:dyDescent="0.2">
      <c r="B186" s="11" t="str">
        <f>Stocuri!B186</f>
        <v/>
      </c>
      <c r="C186" s="10" t="str">
        <f>Stocuri!C186</f>
        <v/>
      </c>
      <c r="D186" s="11" t="str">
        <f>Stocuri!E186</f>
        <v/>
      </c>
      <c r="E186" s="11" t="str">
        <f>IF(B186="","",Produse!L186)</f>
        <v/>
      </c>
      <c r="F186" s="17" t="str">
        <f>Stocuri!F186</f>
        <v/>
      </c>
      <c r="G186" s="16"/>
      <c r="H186" s="17" t="str">
        <f t="shared" si="5"/>
        <v/>
      </c>
      <c r="I186" s="18" t="str">
        <f>IF(H186="","",ROUND(H186*Stocuri!G186,2))</f>
        <v/>
      </c>
      <c r="J186" s="6"/>
    </row>
    <row r="187" spans="2:10" x14ac:dyDescent="0.2">
      <c r="B187" s="11" t="str">
        <f>Stocuri!B187</f>
        <v/>
      </c>
      <c r="C187" s="10" t="str">
        <f>Stocuri!C187</f>
        <v/>
      </c>
      <c r="D187" s="11" t="str">
        <f>Stocuri!E187</f>
        <v/>
      </c>
      <c r="E187" s="11" t="str">
        <f>IF(B187="","",Produse!L187)</f>
        <v/>
      </c>
      <c r="F187" s="17" t="str">
        <f>Stocuri!F187</f>
        <v/>
      </c>
      <c r="G187" s="16"/>
      <c r="H187" s="17" t="str">
        <f t="shared" si="5"/>
        <v/>
      </c>
      <c r="I187" s="18" t="str">
        <f>IF(H187="","",ROUND(H187*Stocuri!G187,2))</f>
        <v/>
      </c>
      <c r="J187" s="6"/>
    </row>
    <row r="188" spans="2:10" x14ac:dyDescent="0.2">
      <c r="B188" s="11" t="str">
        <f>Stocuri!B188</f>
        <v/>
      </c>
      <c r="C188" s="10" t="str">
        <f>Stocuri!C188</f>
        <v/>
      </c>
      <c r="D188" s="11" t="str">
        <f>Stocuri!E188</f>
        <v/>
      </c>
      <c r="E188" s="11" t="str">
        <f>IF(B188="","",Produse!L188)</f>
        <v/>
      </c>
      <c r="F188" s="17" t="str">
        <f>Stocuri!F188</f>
        <v/>
      </c>
      <c r="G188" s="16"/>
      <c r="H188" s="17" t="str">
        <f t="shared" si="5"/>
        <v/>
      </c>
      <c r="I188" s="18" t="str">
        <f>IF(H188="","",ROUND(H188*Stocuri!G188,2))</f>
        <v/>
      </c>
      <c r="J188" s="6"/>
    </row>
    <row r="189" spans="2:10" x14ac:dyDescent="0.2">
      <c r="B189" s="11" t="str">
        <f>Stocuri!B189</f>
        <v/>
      </c>
      <c r="C189" s="10" t="str">
        <f>Stocuri!C189</f>
        <v/>
      </c>
      <c r="D189" s="11" t="str">
        <f>Stocuri!E189</f>
        <v/>
      </c>
      <c r="E189" s="11" t="str">
        <f>IF(B189="","",Produse!L189)</f>
        <v/>
      </c>
      <c r="F189" s="17" t="str">
        <f>Stocuri!F189</f>
        <v/>
      </c>
      <c r="G189" s="16"/>
      <c r="H189" s="17" t="str">
        <f t="shared" si="5"/>
        <v/>
      </c>
      <c r="I189" s="18" t="str">
        <f>IF(H189="","",ROUND(H189*Stocuri!G189,2))</f>
        <v/>
      </c>
      <c r="J189" s="6"/>
    </row>
    <row r="190" spans="2:10" x14ac:dyDescent="0.2">
      <c r="B190" s="11" t="str">
        <f>Stocuri!B190</f>
        <v/>
      </c>
      <c r="C190" s="10" t="str">
        <f>Stocuri!C190</f>
        <v/>
      </c>
      <c r="D190" s="11" t="str">
        <f>Stocuri!E190</f>
        <v/>
      </c>
      <c r="E190" s="11" t="str">
        <f>IF(B190="","",Produse!L190)</f>
        <v/>
      </c>
      <c r="F190" s="17" t="str">
        <f>Stocuri!F190</f>
        <v/>
      </c>
      <c r="G190" s="16"/>
      <c r="H190" s="17" t="str">
        <f t="shared" si="5"/>
        <v/>
      </c>
      <c r="I190" s="18" t="str">
        <f>IF(H190="","",ROUND(H190*Stocuri!G190,2))</f>
        <v/>
      </c>
      <c r="J190" s="6"/>
    </row>
    <row r="191" spans="2:10" x14ac:dyDescent="0.2">
      <c r="B191" s="11" t="str">
        <f>Stocuri!B191</f>
        <v/>
      </c>
      <c r="C191" s="10" t="str">
        <f>Stocuri!C191</f>
        <v/>
      </c>
      <c r="D191" s="11" t="str">
        <f>Stocuri!E191</f>
        <v/>
      </c>
      <c r="E191" s="11" t="str">
        <f>IF(B191="","",Produse!L191)</f>
        <v/>
      </c>
      <c r="F191" s="17" t="str">
        <f>Stocuri!F191</f>
        <v/>
      </c>
      <c r="G191" s="16"/>
      <c r="H191" s="17" t="str">
        <f t="shared" si="5"/>
        <v/>
      </c>
      <c r="I191" s="18" t="str">
        <f>IF(H191="","",ROUND(H191*Stocuri!G191,2))</f>
        <v/>
      </c>
      <c r="J191" s="6"/>
    </row>
    <row r="192" spans="2:10" x14ac:dyDescent="0.2">
      <c r="B192" s="11" t="str">
        <f>Stocuri!B192</f>
        <v/>
      </c>
      <c r="C192" s="10" t="str">
        <f>Stocuri!C192</f>
        <v/>
      </c>
      <c r="D192" s="11" t="str">
        <f>Stocuri!E192</f>
        <v/>
      </c>
      <c r="E192" s="11" t="str">
        <f>IF(B192="","",Produse!L192)</f>
        <v/>
      </c>
      <c r="F192" s="17" t="str">
        <f>Stocuri!F192</f>
        <v/>
      </c>
      <c r="G192" s="16"/>
      <c r="H192" s="17" t="str">
        <f t="shared" si="5"/>
        <v/>
      </c>
      <c r="I192" s="18" t="str">
        <f>IF(H192="","",ROUND(H192*Stocuri!G192,2))</f>
        <v/>
      </c>
      <c r="J192" s="6"/>
    </row>
    <row r="193" spans="2:10" x14ac:dyDescent="0.2">
      <c r="B193" s="11" t="str">
        <f>Stocuri!B193</f>
        <v/>
      </c>
      <c r="C193" s="10" t="str">
        <f>Stocuri!C193</f>
        <v/>
      </c>
      <c r="D193" s="11" t="str">
        <f>Stocuri!E193</f>
        <v/>
      </c>
      <c r="E193" s="11" t="str">
        <f>IF(B193="","",Produse!L193)</f>
        <v/>
      </c>
      <c r="F193" s="17" t="str">
        <f>Stocuri!F193</f>
        <v/>
      </c>
      <c r="G193" s="16"/>
      <c r="H193" s="17" t="str">
        <f t="shared" si="5"/>
        <v/>
      </c>
      <c r="I193" s="18" t="str">
        <f>IF(H193="","",ROUND(H193*Stocuri!G193,2))</f>
        <v/>
      </c>
      <c r="J193" s="6"/>
    </row>
    <row r="194" spans="2:10" x14ac:dyDescent="0.2">
      <c r="B194" s="11" t="str">
        <f>Stocuri!B194</f>
        <v/>
      </c>
      <c r="C194" s="10" t="str">
        <f>Stocuri!C194</f>
        <v/>
      </c>
      <c r="D194" s="11" t="str">
        <f>Stocuri!E194</f>
        <v/>
      </c>
      <c r="E194" s="11" t="str">
        <f>IF(B194="","",Produse!L194)</f>
        <v/>
      </c>
      <c r="F194" s="17" t="str">
        <f>Stocuri!F194</f>
        <v/>
      </c>
      <c r="G194" s="16"/>
      <c r="H194" s="17" t="str">
        <f t="shared" si="5"/>
        <v/>
      </c>
      <c r="I194" s="18" t="str">
        <f>IF(H194="","",ROUND(H194*Stocuri!G194,2))</f>
        <v/>
      </c>
      <c r="J194" s="6"/>
    </row>
    <row r="195" spans="2:10" x14ac:dyDescent="0.2">
      <c r="B195" s="11" t="str">
        <f>Stocuri!B195</f>
        <v/>
      </c>
      <c r="C195" s="10" t="str">
        <f>Stocuri!C195</f>
        <v/>
      </c>
      <c r="D195" s="11" t="str">
        <f>Stocuri!E195</f>
        <v/>
      </c>
      <c r="E195" s="11" t="str">
        <f>IF(B195="","",Produse!L195)</f>
        <v/>
      </c>
      <c r="F195" s="17" t="str">
        <f>Stocuri!F195</f>
        <v/>
      </c>
      <c r="G195" s="16"/>
      <c r="H195" s="17" t="str">
        <f t="shared" si="5"/>
        <v/>
      </c>
      <c r="I195" s="18" t="str">
        <f>IF(H195="","",ROUND(H195*Stocuri!G195,2))</f>
        <v/>
      </c>
      <c r="J195" s="6"/>
    </row>
    <row r="196" spans="2:10" x14ac:dyDescent="0.2">
      <c r="B196" s="11" t="str">
        <f>Stocuri!B196</f>
        <v/>
      </c>
      <c r="C196" s="10" t="str">
        <f>Stocuri!C196</f>
        <v/>
      </c>
      <c r="D196" s="11" t="str">
        <f>Stocuri!E196</f>
        <v/>
      </c>
      <c r="E196" s="11" t="str">
        <f>IF(B196="","",Produse!L196)</f>
        <v/>
      </c>
      <c r="F196" s="17" t="str">
        <f>Stocuri!F196</f>
        <v/>
      </c>
      <c r="G196" s="16"/>
      <c r="H196" s="17" t="str">
        <f t="shared" si="5"/>
        <v/>
      </c>
      <c r="I196" s="18" t="str">
        <f>IF(H196="","",ROUND(H196*Stocuri!G196,2))</f>
        <v/>
      </c>
      <c r="J196" s="6"/>
    </row>
    <row r="197" spans="2:10" x14ac:dyDescent="0.2">
      <c r="B197" s="11" t="str">
        <f>Stocuri!B197</f>
        <v/>
      </c>
      <c r="C197" s="10" t="str">
        <f>Stocuri!C197</f>
        <v/>
      </c>
      <c r="D197" s="11" t="str">
        <f>Stocuri!E197</f>
        <v/>
      </c>
      <c r="E197" s="11" t="str">
        <f>IF(B197="","",Produse!L197)</f>
        <v/>
      </c>
      <c r="F197" s="17" t="str">
        <f>Stocuri!F197</f>
        <v/>
      </c>
      <c r="G197" s="16"/>
      <c r="H197" s="17" t="str">
        <f t="shared" ref="H197:H204" si="6">IF(OR(B197="",G197=""),"",G197-F197)</f>
        <v/>
      </c>
      <c r="I197" s="18" t="str">
        <f>IF(H197="","",ROUND(H197*Stocuri!G197,2))</f>
        <v/>
      </c>
      <c r="J197" s="6"/>
    </row>
    <row r="198" spans="2:10" x14ac:dyDescent="0.2">
      <c r="B198" s="11" t="str">
        <f>Stocuri!B198</f>
        <v/>
      </c>
      <c r="C198" s="10" t="str">
        <f>Stocuri!C198</f>
        <v/>
      </c>
      <c r="D198" s="11" t="str">
        <f>Stocuri!E198</f>
        <v/>
      </c>
      <c r="E198" s="11" t="str">
        <f>IF(B198="","",Produse!L198)</f>
        <v/>
      </c>
      <c r="F198" s="17" t="str">
        <f>Stocuri!F198</f>
        <v/>
      </c>
      <c r="G198" s="16"/>
      <c r="H198" s="17" t="str">
        <f t="shared" si="6"/>
        <v/>
      </c>
      <c r="I198" s="18" t="str">
        <f>IF(H198="","",ROUND(H198*Stocuri!G198,2))</f>
        <v/>
      </c>
      <c r="J198" s="6"/>
    </row>
    <row r="199" spans="2:10" x14ac:dyDescent="0.2">
      <c r="B199" s="11" t="str">
        <f>Stocuri!B199</f>
        <v/>
      </c>
      <c r="C199" s="10" t="str">
        <f>Stocuri!C199</f>
        <v/>
      </c>
      <c r="D199" s="11" t="str">
        <f>Stocuri!E199</f>
        <v/>
      </c>
      <c r="E199" s="11" t="str">
        <f>IF(B199="","",Produse!L199)</f>
        <v/>
      </c>
      <c r="F199" s="17" t="str">
        <f>Stocuri!F199</f>
        <v/>
      </c>
      <c r="G199" s="16"/>
      <c r="H199" s="17" t="str">
        <f t="shared" si="6"/>
        <v/>
      </c>
      <c r="I199" s="18" t="str">
        <f>IF(H199="","",ROUND(H199*Stocuri!G199,2))</f>
        <v/>
      </c>
      <c r="J199" s="6"/>
    </row>
    <row r="200" spans="2:10" x14ac:dyDescent="0.2">
      <c r="B200" s="11" t="str">
        <f>Stocuri!B200</f>
        <v/>
      </c>
      <c r="C200" s="10" t="str">
        <f>Stocuri!C200</f>
        <v/>
      </c>
      <c r="D200" s="11" t="str">
        <f>Stocuri!E200</f>
        <v/>
      </c>
      <c r="E200" s="11" t="str">
        <f>IF(B200="","",Produse!L200)</f>
        <v/>
      </c>
      <c r="F200" s="17" t="str">
        <f>Stocuri!F200</f>
        <v/>
      </c>
      <c r="G200" s="16"/>
      <c r="H200" s="17" t="str">
        <f t="shared" si="6"/>
        <v/>
      </c>
      <c r="I200" s="18" t="str">
        <f>IF(H200="","",ROUND(H200*Stocuri!G200,2))</f>
        <v/>
      </c>
      <c r="J200" s="6"/>
    </row>
    <row r="201" spans="2:10" x14ac:dyDescent="0.2">
      <c r="B201" s="11" t="str">
        <f>Stocuri!B201</f>
        <v/>
      </c>
      <c r="C201" s="10" t="str">
        <f>Stocuri!C201</f>
        <v/>
      </c>
      <c r="D201" s="11" t="str">
        <f>Stocuri!E201</f>
        <v/>
      </c>
      <c r="E201" s="11" t="str">
        <f>IF(B201="","",Produse!L201)</f>
        <v/>
      </c>
      <c r="F201" s="17" t="str">
        <f>Stocuri!F201</f>
        <v/>
      </c>
      <c r="G201" s="16"/>
      <c r="H201" s="17" t="str">
        <f t="shared" si="6"/>
        <v/>
      </c>
      <c r="I201" s="18" t="str">
        <f>IF(H201="","",ROUND(H201*Stocuri!G201,2))</f>
        <v/>
      </c>
      <c r="J201" s="6"/>
    </row>
    <row r="202" spans="2:10" x14ac:dyDescent="0.2">
      <c r="B202" s="11" t="str">
        <f>Stocuri!B202</f>
        <v/>
      </c>
      <c r="C202" s="10" t="str">
        <f>Stocuri!C202</f>
        <v/>
      </c>
      <c r="D202" s="11" t="str">
        <f>Stocuri!E202</f>
        <v/>
      </c>
      <c r="E202" s="11" t="str">
        <f>IF(B202="","",Produse!L202)</f>
        <v/>
      </c>
      <c r="F202" s="17" t="str">
        <f>Stocuri!F202</f>
        <v/>
      </c>
      <c r="G202" s="16"/>
      <c r="H202" s="17" t="str">
        <f t="shared" si="6"/>
        <v/>
      </c>
      <c r="I202" s="18" t="str">
        <f>IF(H202="","",ROUND(H202*Stocuri!G202,2))</f>
        <v/>
      </c>
      <c r="J202" s="6"/>
    </row>
    <row r="203" spans="2:10" x14ac:dyDescent="0.2">
      <c r="B203" s="11" t="str">
        <f>Stocuri!B203</f>
        <v/>
      </c>
      <c r="C203" s="10" t="str">
        <f>Stocuri!C203</f>
        <v/>
      </c>
      <c r="D203" s="11" t="str">
        <f>Stocuri!E203</f>
        <v/>
      </c>
      <c r="E203" s="11" t="str">
        <f>IF(B203="","",Produse!L203)</f>
        <v/>
      </c>
      <c r="F203" s="17" t="str">
        <f>Stocuri!F203</f>
        <v/>
      </c>
      <c r="G203" s="16"/>
      <c r="H203" s="17" t="str">
        <f t="shared" si="6"/>
        <v/>
      </c>
      <c r="I203" s="18" t="str">
        <f>IF(H203="","",ROUND(H203*Stocuri!G203,2))</f>
        <v/>
      </c>
      <c r="J203" s="6"/>
    </row>
    <row r="204" spans="2:10" x14ac:dyDescent="0.2">
      <c r="B204" s="11" t="str">
        <f>Stocuri!B204</f>
        <v/>
      </c>
      <c r="C204" s="10" t="str">
        <f>Stocuri!C204</f>
        <v/>
      </c>
      <c r="D204" s="11" t="str">
        <f>Stocuri!E204</f>
        <v/>
      </c>
      <c r="E204" s="11" t="str">
        <f>IF(B204="","",Produse!L204)</f>
        <v/>
      </c>
      <c r="F204" s="17" t="str">
        <f>Stocuri!F204</f>
        <v/>
      </c>
      <c r="G204" s="16"/>
      <c r="H204" s="17" t="str">
        <f t="shared" si="6"/>
        <v/>
      </c>
      <c r="I204" s="18" t="str">
        <f>IF(H204="","",ROUND(H204*Stocuri!G204,2))</f>
        <v/>
      </c>
      <c r="J204" s="6"/>
    </row>
    <row r="205" spans="2:10" x14ac:dyDescent="0.2">
      <c r="H205" s="4" t="s">
        <v>290</v>
      </c>
      <c r="I205" s="25">
        <f ca="1">SUM(I5:I204)</f>
        <v>-90.12</v>
      </c>
    </row>
  </sheetData>
  <conditionalFormatting sqref="H5:I204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D312E-0EA5-479A-BB73-8F57D1468800}">
  <dimension ref="B1:L204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34.7109375" style="1" customWidth="1"/>
    <col min="4" max="4" width="18.7109375" style="1" customWidth="1"/>
    <col min="5" max="5" width="6.7109375" style="1" customWidth="1"/>
    <col min="6" max="6" width="20.7109375" style="1" customWidth="1"/>
    <col min="7" max="7" width="11.7109375" style="1" customWidth="1"/>
    <col min="8" max="8" width="10.7109375" style="1" customWidth="1"/>
    <col min="9" max="11" width="9.7109375" style="1" customWidth="1"/>
    <col min="12" max="12" width="8.7109375" style="1" customWidth="1"/>
    <col min="13" max="16384" width="11.42578125" style="1"/>
  </cols>
  <sheetData>
    <row r="1" spans="2:12" ht="21" x14ac:dyDescent="0.35">
      <c r="B1" s="2" t="s">
        <v>26</v>
      </c>
    </row>
    <row r="2" spans="2:12" x14ac:dyDescent="0.2">
      <c r="B2" s="3" t="s">
        <v>27</v>
      </c>
    </row>
    <row r="4" spans="2:12" ht="30" customHeight="1" x14ac:dyDescent="0.2">
      <c r="B4" s="9" t="s">
        <v>28</v>
      </c>
      <c r="C4" s="9" t="s">
        <v>29</v>
      </c>
      <c r="D4" s="9" t="s">
        <v>30</v>
      </c>
      <c r="E4" s="9" t="s">
        <v>31</v>
      </c>
      <c r="F4" s="9" t="s">
        <v>32</v>
      </c>
      <c r="G4" s="9" t="s">
        <v>33</v>
      </c>
      <c r="H4" s="9" t="s">
        <v>34</v>
      </c>
      <c r="I4" s="9" t="s">
        <v>35</v>
      </c>
      <c r="J4" s="9" t="s">
        <v>36</v>
      </c>
      <c r="K4" s="9" t="s">
        <v>37</v>
      </c>
      <c r="L4" s="9" t="s">
        <v>38</v>
      </c>
    </row>
    <row r="5" spans="2:12" x14ac:dyDescent="0.2">
      <c r="B5" s="12" t="s">
        <v>39</v>
      </c>
      <c r="C5" s="6" t="s">
        <v>40</v>
      </c>
      <c r="D5" s="6" t="s">
        <v>20</v>
      </c>
      <c r="E5" s="12" t="s">
        <v>41</v>
      </c>
      <c r="F5" s="6" t="s">
        <v>42</v>
      </c>
      <c r="G5" s="13">
        <v>3.7</v>
      </c>
      <c r="H5" s="13">
        <v>4.8499999999999996</v>
      </c>
      <c r="I5" s="14">
        <v>300</v>
      </c>
      <c r="J5" s="14">
        <v>1500</v>
      </c>
      <c r="K5" s="12">
        <v>5</v>
      </c>
      <c r="L5" s="12" t="s">
        <v>43</v>
      </c>
    </row>
    <row r="6" spans="2:12" x14ac:dyDescent="0.2">
      <c r="B6" s="12" t="s">
        <v>44</v>
      </c>
      <c r="C6" s="6" t="s">
        <v>45</v>
      </c>
      <c r="D6" s="6" t="s">
        <v>21</v>
      </c>
      <c r="E6" s="12" t="s">
        <v>41</v>
      </c>
      <c r="F6" s="6" t="s">
        <v>42</v>
      </c>
      <c r="G6" s="13">
        <v>1.2</v>
      </c>
      <c r="H6" s="13">
        <v>1.9</v>
      </c>
      <c r="I6" s="14">
        <v>200</v>
      </c>
      <c r="J6" s="14">
        <v>800</v>
      </c>
      <c r="K6" s="12">
        <v>5</v>
      </c>
      <c r="L6" s="12" t="s">
        <v>46</v>
      </c>
    </row>
    <row r="7" spans="2:12" x14ac:dyDescent="0.2">
      <c r="B7" s="12" t="s">
        <v>47</v>
      </c>
      <c r="C7" s="6" t="s">
        <v>48</v>
      </c>
      <c r="D7" s="6" t="s">
        <v>21</v>
      </c>
      <c r="E7" s="12" t="s">
        <v>49</v>
      </c>
      <c r="F7" s="6" t="s">
        <v>42</v>
      </c>
      <c r="G7" s="13">
        <v>0.7</v>
      </c>
      <c r="H7" s="13">
        <v>1.2</v>
      </c>
      <c r="I7" s="14">
        <v>200</v>
      </c>
      <c r="J7" s="14">
        <v>1000</v>
      </c>
      <c r="K7" s="12">
        <v>5</v>
      </c>
      <c r="L7" s="12" t="s">
        <v>50</v>
      </c>
    </row>
    <row r="8" spans="2:12" x14ac:dyDescent="0.2">
      <c r="B8" s="12" t="s">
        <v>51</v>
      </c>
      <c r="C8" s="6" t="s">
        <v>52</v>
      </c>
      <c r="D8" s="6" t="s">
        <v>22</v>
      </c>
      <c r="E8" s="12" t="s">
        <v>49</v>
      </c>
      <c r="F8" s="6" t="s">
        <v>53</v>
      </c>
      <c r="G8" s="13">
        <v>9.8000000000000007</v>
      </c>
      <c r="H8" s="13">
        <v>14.5</v>
      </c>
      <c r="I8" s="14">
        <v>40</v>
      </c>
      <c r="J8" s="14">
        <v>200</v>
      </c>
      <c r="K8" s="12">
        <v>7</v>
      </c>
      <c r="L8" s="12" t="s">
        <v>54</v>
      </c>
    </row>
    <row r="9" spans="2:12" x14ac:dyDescent="0.2">
      <c r="B9" s="12" t="s">
        <v>55</v>
      </c>
      <c r="C9" s="6" t="s">
        <v>56</v>
      </c>
      <c r="D9" s="6" t="s">
        <v>22</v>
      </c>
      <c r="E9" s="12" t="s">
        <v>49</v>
      </c>
      <c r="F9" s="6" t="s">
        <v>53</v>
      </c>
      <c r="G9" s="13">
        <v>12.7</v>
      </c>
      <c r="H9" s="13">
        <v>18.899999999999999</v>
      </c>
      <c r="I9" s="14">
        <v>40</v>
      </c>
      <c r="J9" s="14">
        <v>200</v>
      </c>
      <c r="K9" s="12">
        <v>7</v>
      </c>
      <c r="L9" s="12" t="s">
        <v>57</v>
      </c>
    </row>
    <row r="10" spans="2:12" x14ac:dyDescent="0.2">
      <c r="B10" s="12" t="s">
        <v>58</v>
      </c>
      <c r="C10" s="6" t="s">
        <v>59</v>
      </c>
      <c r="D10" s="6" t="s">
        <v>23</v>
      </c>
      <c r="E10" s="12" t="s">
        <v>49</v>
      </c>
      <c r="F10" s="6" t="s">
        <v>42</v>
      </c>
      <c r="G10" s="13">
        <v>98</v>
      </c>
      <c r="H10" s="13">
        <v>145</v>
      </c>
      <c r="I10" s="14">
        <v>5</v>
      </c>
      <c r="J10" s="14">
        <v>25</v>
      </c>
      <c r="K10" s="12">
        <v>5</v>
      </c>
      <c r="L10" s="12" t="s">
        <v>60</v>
      </c>
    </row>
    <row r="11" spans="2:12" x14ac:dyDescent="0.2">
      <c r="B11" s="12" t="s">
        <v>61</v>
      </c>
      <c r="C11" s="6" t="s">
        <v>62</v>
      </c>
      <c r="D11" s="6" t="s">
        <v>23</v>
      </c>
      <c r="E11" s="12" t="s">
        <v>49</v>
      </c>
      <c r="F11" s="6" t="s">
        <v>42</v>
      </c>
      <c r="G11" s="13">
        <v>15.2</v>
      </c>
      <c r="H11" s="13">
        <v>22.4</v>
      </c>
      <c r="I11" s="14">
        <v>50</v>
      </c>
      <c r="J11" s="14">
        <v>250</v>
      </c>
      <c r="K11" s="12">
        <v>5</v>
      </c>
      <c r="L11" s="12" t="s">
        <v>63</v>
      </c>
    </row>
    <row r="12" spans="2:12" x14ac:dyDescent="0.2">
      <c r="B12" s="12" t="s">
        <v>64</v>
      </c>
      <c r="C12" s="6" t="s">
        <v>65</v>
      </c>
      <c r="D12" s="6" t="s">
        <v>24</v>
      </c>
      <c r="E12" s="12" t="s">
        <v>49</v>
      </c>
      <c r="F12" s="6" t="s">
        <v>66</v>
      </c>
      <c r="G12" s="13">
        <v>62</v>
      </c>
      <c r="H12" s="13">
        <v>89</v>
      </c>
      <c r="I12" s="14">
        <v>20</v>
      </c>
      <c r="J12" s="14">
        <v>100</v>
      </c>
      <c r="K12" s="12">
        <v>10</v>
      </c>
      <c r="L12" s="12" t="s">
        <v>67</v>
      </c>
    </row>
    <row r="13" spans="2:12" x14ac:dyDescent="0.2">
      <c r="B13" s="12" t="s">
        <v>68</v>
      </c>
      <c r="C13" s="6" t="s">
        <v>69</v>
      </c>
      <c r="D13" s="6" t="s">
        <v>24</v>
      </c>
      <c r="E13" s="12" t="s">
        <v>49</v>
      </c>
      <c r="F13" s="6" t="s">
        <v>66</v>
      </c>
      <c r="G13" s="13">
        <v>6.5</v>
      </c>
      <c r="H13" s="13">
        <v>11</v>
      </c>
      <c r="I13" s="14">
        <v>100</v>
      </c>
      <c r="J13" s="14">
        <v>400</v>
      </c>
      <c r="K13" s="12">
        <v>10</v>
      </c>
      <c r="L13" s="12" t="s">
        <v>70</v>
      </c>
    </row>
    <row r="14" spans="2:12" x14ac:dyDescent="0.2">
      <c r="B14" s="12" t="s">
        <v>71</v>
      </c>
      <c r="C14" s="6" t="s">
        <v>72</v>
      </c>
      <c r="D14" s="6" t="s">
        <v>25</v>
      </c>
      <c r="E14" s="12" t="s">
        <v>49</v>
      </c>
      <c r="F14" s="6" t="s">
        <v>66</v>
      </c>
      <c r="G14" s="13">
        <v>28</v>
      </c>
      <c r="H14" s="13">
        <v>45</v>
      </c>
      <c r="I14" s="14">
        <v>10</v>
      </c>
      <c r="J14" s="14">
        <v>40</v>
      </c>
      <c r="K14" s="12">
        <v>10</v>
      </c>
      <c r="L14" s="12" t="s">
        <v>73</v>
      </c>
    </row>
    <row r="15" spans="2:12" x14ac:dyDescent="0.2">
      <c r="B15" s="12" t="s">
        <v>74</v>
      </c>
      <c r="C15" s="6" t="s">
        <v>75</v>
      </c>
      <c r="D15" s="6" t="s">
        <v>25</v>
      </c>
      <c r="E15" s="12" t="s">
        <v>49</v>
      </c>
      <c r="F15" s="6" t="s">
        <v>42</v>
      </c>
      <c r="G15" s="13">
        <v>2.1</v>
      </c>
      <c r="H15" s="13">
        <v>4.5</v>
      </c>
      <c r="I15" s="14">
        <v>50</v>
      </c>
      <c r="J15" s="14">
        <v>200</v>
      </c>
      <c r="K15" s="12">
        <v>5</v>
      </c>
      <c r="L15" s="12" t="s">
        <v>76</v>
      </c>
    </row>
    <row r="16" spans="2:12" x14ac:dyDescent="0.2">
      <c r="B16" s="12" t="s">
        <v>77</v>
      </c>
      <c r="C16" s="6" t="s">
        <v>78</v>
      </c>
      <c r="D16" s="6" t="s">
        <v>20</v>
      </c>
      <c r="E16" s="12" t="s">
        <v>41</v>
      </c>
      <c r="F16" s="6" t="s">
        <v>42</v>
      </c>
      <c r="G16" s="13">
        <v>1.1000000000000001</v>
      </c>
      <c r="H16" s="13">
        <v>1.9</v>
      </c>
      <c r="I16" s="14">
        <v>300</v>
      </c>
      <c r="J16" s="14">
        <v>1500</v>
      </c>
      <c r="K16" s="12">
        <v>5</v>
      </c>
      <c r="L16" s="12" t="s">
        <v>79</v>
      </c>
    </row>
    <row r="17" spans="2:12" x14ac:dyDescent="0.2">
      <c r="B17" s="12"/>
      <c r="C17" s="6"/>
      <c r="D17" s="6"/>
      <c r="E17" s="12"/>
      <c r="F17" s="6"/>
      <c r="G17" s="13"/>
      <c r="H17" s="13"/>
      <c r="I17" s="14"/>
      <c r="J17" s="14"/>
      <c r="K17" s="12"/>
      <c r="L17" s="12"/>
    </row>
    <row r="18" spans="2:12" x14ac:dyDescent="0.2">
      <c r="B18" s="12"/>
      <c r="C18" s="6"/>
      <c r="D18" s="6"/>
      <c r="E18" s="12"/>
      <c r="F18" s="6"/>
      <c r="G18" s="13"/>
      <c r="H18" s="13"/>
      <c r="I18" s="14"/>
      <c r="J18" s="14"/>
      <c r="K18" s="12"/>
      <c r="L18" s="12"/>
    </row>
    <row r="19" spans="2:12" x14ac:dyDescent="0.2">
      <c r="B19" s="12"/>
      <c r="C19" s="6"/>
      <c r="D19" s="6"/>
      <c r="E19" s="12"/>
      <c r="F19" s="6"/>
      <c r="G19" s="13"/>
      <c r="H19" s="13"/>
      <c r="I19" s="14"/>
      <c r="J19" s="14"/>
      <c r="K19" s="12"/>
      <c r="L19" s="12"/>
    </row>
    <row r="20" spans="2:12" x14ac:dyDescent="0.2">
      <c r="B20" s="12"/>
      <c r="C20" s="6"/>
      <c r="D20" s="6"/>
      <c r="E20" s="12"/>
      <c r="F20" s="6"/>
      <c r="G20" s="13"/>
      <c r="H20" s="13"/>
      <c r="I20" s="14"/>
      <c r="J20" s="14"/>
      <c r="K20" s="12"/>
      <c r="L20" s="12"/>
    </row>
    <row r="21" spans="2:12" x14ac:dyDescent="0.2">
      <c r="B21" s="12"/>
      <c r="C21" s="6"/>
      <c r="D21" s="6"/>
      <c r="E21" s="12"/>
      <c r="F21" s="6"/>
      <c r="G21" s="13"/>
      <c r="H21" s="13"/>
      <c r="I21" s="14"/>
      <c r="J21" s="14"/>
      <c r="K21" s="12"/>
      <c r="L21" s="12"/>
    </row>
    <row r="22" spans="2:12" x14ac:dyDescent="0.2">
      <c r="B22" s="12"/>
      <c r="C22" s="6"/>
      <c r="D22" s="6"/>
      <c r="E22" s="12"/>
      <c r="F22" s="6"/>
      <c r="G22" s="13"/>
      <c r="H22" s="13"/>
      <c r="I22" s="14"/>
      <c r="J22" s="14"/>
      <c r="K22" s="12"/>
      <c r="L22" s="12"/>
    </row>
    <row r="23" spans="2:12" x14ac:dyDescent="0.2">
      <c r="B23" s="12"/>
      <c r="C23" s="6"/>
      <c r="D23" s="6"/>
      <c r="E23" s="12"/>
      <c r="F23" s="6"/>
      <c r="G23" s="13"/>
      <c r="H23" s="13"/>
      <c r="I23" s="14"/>
      <c r="J23" s="14"/>
      <c r="K23" s="12"/>
      <c r="L23" s="12"/>
    </row>
    <row r="24" spans="2:12" x14ac:dyDescent="0.2">
      <c r="B24" s="12"/>
      <c r="C24" s="6"/>
      <c r="D24" s="6"/>
      <c r="E24" s="12"/>
      <c r="F24" s="6"/>
      <c r="G24" s="13"/>
      <c r="H24" s="13"/>
      <c r="I24" s="14"/>
      <c r="J24" s="14"/>
      <c r="K24" s="12"/>
      <c r="L24" s="12"/>
    </row>
    <row r="25" spans="2:12" x14ac:dyDescent="0.2">
      <c r="B25" s="12"/>
      <c r="C25" s="6"/>
      <c r="D25" s="6"/>
      <c r="E25" s="12"/>
      <c r="F25" s="6"/>
      <c r="G25" s="13"/>
      <c r="H25" s="13"/>
      <c r="I25" s="14"/>
      <c r="J25" s="14"/>
      <c r="K25" s="12"/>
      <c r="L25" s="12"/>
    </row>
    <row r="26" spans="2:12" x14ac:dyDescent="0.2">
      <c r="B26" s="12"/>
      <c r="C26" s="6"/>
      <c r="D26" s="6"/>
      <c r="E26" s="12"/>
      <c r="F26" s="6"/>
      <c r="G26" s="13"/>
      <c r="H26" s="13"/>
      <c r="I26" s="14"/>
      <c r="J26" s="14"/>
      <c r="K26" s="12"/>
      <c r="L26" s="12"/>
    </row>
    <row r="27" spans="2:12" x14ac:dyDescent="0.2">
      <c r="B27" s="12"/>
      <c r="C27" s="6"/>
      <c r="D27" s="6"/>
      <c r="E27" s="12"/>
      <c r="F27" s="6"/>
      <c r="G27" s="13"/>
      <c r="H27" s="13"/>
      <c r="I27" s="14"/>
      <c r="J27" s="14"/>
      <c r="K27" s="12"/>
      <c r="L27" s="12"/>
    </row>
    <row r="28" spans="2:12" x14ac:dyDescent="0.2">
      <c r="B28" s="12"/>
      <c r="C28" s="6"/>
      <c r="D28" s="6"/>
      <c r="E28" s="12"/>
      <c r="F28" s="6"/>
      <c r="G28" s="13"/>
      <c r="H28" s="13"/>
      <c r="I28" s="14"/>
      <c r="J28" s="14"/>
      <c r="K28" s="12"/>
      <c r="L28" s="12"/>
    </row>
    <row r="29" spans="2:12" x14ac:dyDescent="0.2">
      <c r="B29" s="12"/>
      <c r="C29" s="6"/>
      <c r="D29" s="6"/>
      <c r="E29" s="12"/>
      <c r="F29" s="6"/>
      <c r="G29" s="13"/>
      <c r="H29" s="13"/>
      <c r="I29" s="14"/>
      <c r="J29" s="14"/>
      <c r="K29" s="12"/>
      <c r="L29" s="12"/>
    </row>
    <row r="30" spans="2:12" x14ac:dyDescent="0.2">
      <c r="B30" s="12"/>
      <c r="C30" s="6"/>
      <c r="D30" s="6"/>
      <c r="E30" s="12"/>
      <c r="F30" s="6"/>
      <c r="G30" s="13"/>
      <c r="H30" s="13"/>
      <c r="I30" s="14"/>
      <c r="J30" s="14"/>
      <c r="K30" s="12"/>
      <c r="L30" s="12"/>
    </row>
    <row r="31" spans="2:12" x14ac:dyDescent="0.2">
      <c r="B31" s="12"/>
      <c r="C31" s="6"/>
      <c r="D31" s="6"/>
      <c r="E31" s="12"/>
      <c r="F31" s="6"/>
      <c r="G31" s="13"/>
      <c r="H31" s="13"/>
      <c r="I31" s="14"/>
      <c r="J31" s="14"/>
      <c r="K31" s="12"/>
      <c r="L31" s="12"/>
    </row>
    <row r="32" spans="2:12" x14ac:dyDescent="0.2">
      <c r="B32" s="12"/>
      <c r="C32" s="6"/>
      <c r="D32" s="6"/>
      <c r="E32" s="12"/>
      <c r="F32" s="6"/>
      <c r="G32" s="13"/>
      <c r="H32" s="13"/>
      <c r="I32" s="14"/>
      <c r="J32" s="14"/>
      <c r="K32" s="12"/>
      <c r="L32" s="12"/>
    </row>
    <row r="33" spans="2:12" x14ac:dyDescent="0.2">
      <c r="B33" s="12"/>
      <c r="C33" s="6"/>
      <c r="D33" s="6"/>
      <c r="E33" s="12"/>
      <c r="F33" s="6"/>
      <c r="G33" s="13"/>
      <c r="H33" s="13"/>
      <c r="I33" s="14"/>
      <c r="J33" s="14"/>
      <c r="K33" s="12"/>
      <c r="L33" s="12"/>
    </row>
    <row r="34" spans="2:12" x14ac:dyDescent="0.2">
      <c r="B34" s="12"/>
      <c r="C34" s="6"/>
      <c r="D34" s="6"/>
      <c r="E34" s="12"/>
      <c r="F34" s="6"/>
      <c r="G34" s="13"/>
      <c r="H34" s="13"/>
      <c r="I34" s="14"/>
      <c r="J34" s="14"/>
      <c r="K34" s="12"/>
      <c r="L34" s="12"/>
    </row>
    <row r="35" spans="2:12" x14ac:dyDescent="0.2">
      <c r="B35" s="12"/>
      <c r="C35" s="6"/>
      <c r="D35" s="6"/>
      <c r="E35" s="12"/>
      <c r="F35" s="6"/>
      <c r="G35" s="13"/>
      <c r="H35" s="13"/>
      <c r="I35" s="14"/>
      <c r="J35" s="14"/>
      <c r="K35" s="12"/>
      <c r="L35" s="12"/>
    </row>
    <row r="36" spans="2:12" x14ac:dyDescent="0.2">
      <c r="B36" s="12"/>
      <c r="C36" s="6"/>
      <c r="D36" s="6"/>
      <c r="E36" s="12"/>
      <c r="F36" s="6"/>
      <c r="G36" s="13"/>
      <c r="H36" s="13"/>
      <c r="I36" s="14"/>
      <c r="J36" s="14"/>
      <c r="K36" s="12"/>
      <c r="L36" s="12"/>
    </row>
    <row r="37" spans="2:12" x14ac:dyDescent="0.2">
      <c r="B37" s="12"/>
      <c r="C37" s="6"/>
      <c r="D37" s="6"/>
      <c r="E37" s="12"/>
      <c r="F37" s="6"/>
      <c r="G37" s="13"/>
      <c r="H37" s="13"/>
      <c r="I37" s="14"/>
      <c r="J37" s="14"/>
      <c r="K37" s="12"/>
      <c r="L37" s="12"/>
    </row>
    <row r="38" spans="2:12" x14ac:dyDescent="0.2">
      <c r="B38" s="12"/>
      <c r="C38" s="6"/>
      <c r="D38" s="6"/>
      <c r="E38" s="12"/>
      <c r="F38" s="6"/>
      <c r="G38" s="13"/>
      <c r="H38" s="13"/>
      <c r="I38" s="14"/>
      <c r="J38" s="14"/>
      <c r="K38" s="12"/>
      <c r="L38" s="12"/>
    </row>
    <row r="39" spans="2:12" x14ac:dyDescent="0.2">
      <c r="B39" s="12"/>
      <c r="C39" s="6"/>
      <c r="D39" s="6"/>
      <c r="E39" s="12"/>
      <c r="F39" s="6"/>
      <c r="G39" s="13"/>
      <c r="H39" s="13"/>
      <c r="I39" s="14"/>
      <c r="J39" s="14"/>
      <c r="K39" s="12"/>
      <c r="L39" s="12"/>
    </row>
    <row r="40" spans="2:12" x14ac:dyDescent="0.2">
      <c r="B40" s="12"/>
      <c r="C40" s="6"/>
      <c r="D40" s="6"/>
      <c r="E40" s="12"/>
      <c r="F40" s="6"/>
      <c r="G40" s="13"/>
      <c r="H40" s="13"/>
      <c r="I40" s="14"/>
      <c r="J40" s="14"/>
      <c r="K40" s="12"/>
      <c r="L40" s="12"/>
    </row>
    <row r="41" spans="2:12" x14ac:dyDescent="0.2">
      <c r="B41" s="12"/>
      <c r="C41" s="6"/>
      <c r="D41" s="6"/>
      <c r="E41" s="12"/>
      <c r="F41" s="6"/>
      <c r="G41" s="13"/>
      <c r="H41" s="13"/>
      <c r="I41" s="14"/>
      <c r="J41" s="14"/>
      <c r="K41" s="12"/>
      <c r="L41" s="12"/>
    </row>
    <row r="42" spans="2:12" x14ac:dyDescent="0.2">
      <c r="B42" s="12"/>
      <c r="C42" s="6"/>
      <c r="D42" s="6"/>
      <c r="E42" s="12"/>
      <c r="F42" s="6"/>
      <c r="G42" s="13"/>
      <c r="H42" s="13"/>
      <c r="I42" s="14"/>
      <c r="J42" s="14"/>
      <c r="K42" s="12"/>
      <c r="L42" s="12"/>
    </row>
    <row r="43" spans="2:12" x14ac:dyDescent="0.2">
      <c r="B43" s="12"/>
      <c r="C43" s="6"/>
      <c r="D43" s="6"/>
      <c r="E43" s="12"/>
      <c r="F43" s="6"/>
      <c r="G43" s="13"/>
      <c r="H43" s="13"/>
      <c r="I43" s="14"/>
      <c r="J43" s="14"/>
      <c r="K43" s="12"/>
      <c r="L43" s="12"/>
    </row>
    <row r="44" spans="2:12" x14ac:dyDescent="0.2">
      <c r="B44" s="12"/>
      <c r="C44" s="6"/>
      <c r="D44" s="6"/>
      <c r="E44" s="12"/>
      <c r="F44" s="6"/>
      <c r="G44" s="13"/>
      <c r="H44" s="13"/>
      <c r="I44" s="14"/>
      <c r="J44" s="14"/>
      <c r="K44" s="12"/>
      <c r="L44" s="12"/>
    </row>
    <row r="45" spans="2:12" x14ac:dyDescent="0.2">
      <c r="B45" s="12"/>
      <c r="C45" s="6"/>
      <c r="D45" s="6"/>
      <c r="E45" s="12"/>
      <c r="F45" s="6"/>
      <c r="G45" s="13"/>
      <c r="H45" s="13"/>
      <c r="I45" s="14"/>
      <c r="J45" s="14"/>
      <c r="K45" s="12"/>
      <c r="L45" s="12"/>
    </row>
    <row r="46" spans="2:12" x14ac:dyDescent="0.2">
      <c r="B46" s="12"/>
      <c r="C46" s="6"/>
      <c r="D46" s="6"/>
      <c r="E46" s="12"/>
      <c r="F46" s="6"/>
      <c r="G46" s="13"/>
      <c r="H46" s="13"/>
      <c r="I46" s="14"/>
      <c r="J46" s="14"/>
      <c r="K46" s="12"/>
      <c r="L46" s="12"/>
    </row>
    <row r="47" spans="2:12" x14ac:dyDescent="0.2">
      <c r="B47" s="12"/>
      <c r="C47" s="6"/>
      <c r="D47" s="6"/>
      <c r="E47" s="12"/>
      <c r="F47" s="6"/>
      <c r="G47" s="13"/>
      <c r="H47" s="13"/>
      <c r="I47" s="14"/>
      <c r="J47" s="14"/>
      <c r="K47" s="12"/>
      <c r="L47" s="12"/>
    </row>
    <row r="48" spans="2:12" x14ac:dyDescent="0.2">
      <c r="B48" s="12"/>
      <c r="C48" s="6"/>
      <c r="D48" s="6"/>
      <c r="E48" s="12"/>
      <c r="F48" s="6"/>
      <c r="G48" s="13"/>
      <c r="H48" s="13"/>
      <c r="I48" s="14"/>
      <c r="J48" s="14"/>
      <c r="K48" s="12"/>
      <c r="L48" s="12"/>
    </row>
    <row r="49" spans="2:12" x14ac:dyDescent="0.2">
      <c r="B49" s="12"/>
      <c r="C49" s="6"/>
      <c r="D49" s="6"/>
      <c r="E49" s="12"/>
      <c r="F49" s="6"/>
      <c r="G49" s="13"/>
      <c r="H49" s="13"/>
      <c r="I49" s="14"/>
      <c r="J49" s="14"/>
      <c r="K49" s="12"/>
      <c r="L49" s="12"/>
    </row>
    <row r="50" spans="2:12" x14ac:dyDescent="0.2">
      <c r="B50" s="12"/>
      <c r="C50" s="6"/>
      <c r="D50" s="6"/>
      <c r="E50" s="12"/>
      <c r="F50" s="6"/>
      <c r="G50" s="13"/>
      <c r="H50" s="13"/>
      <c r="I50" s="14"/>
      <c r="J50" s="14"/>
      <c r="K50" s="12"/>
      <c r="L50" s="12"/>
    </row>
    <row r="51" spans="2:12" x14ac:dyDescent="0.2">
      <c r="B51" s="12"/>
      <c r="C51" s="6"/>
      <c r="D51" s="6"/>
      <c r="E51" s="12"/>
      <c r="F51" s="6"/>
      <c r="G51" s="13"/>
      <c r="H51" s="13"/>
      <c r="I51" s="14"/>
      <c r="J51" s="14"/>
      <c r="K51" s="12"/>
      <c r="L51" s="12"/>
    </row>
    <row r="52" spans="2:12" x14ac:dyDescent="0.2">
      <c r="B52" s="12"/>
      <c r="C52" s="6"/>
      <c r="D52" s="6"/>
      <c r="E52" s="12"/>
      <c r="F52" s="6"/>
      <c r="G52" s="13"/>
      <c r="H52" s="13"/>
      <c r="I52" s="14"/>
      <c r="J52" s="14"/>
      <c r="K52" s="12"/>
      <c r="L52" s="12"/>
    </row>
    <row r="53" spans="2:12" x14ac:dyDescent="0.2">
      <c r="B53" s="12"/>
      <c r="C53" s="6"/>
      <c r="D53" s="6"/>
      <c r="E53" s="12"/>
      <c r="F53" s="6"/>
      <c r="G53" s="13"/>
      <c r="H53" s="13"/>
      <c r="I53" s="14"/>
      <c r="J53" s="14"/>
      <c r="K53" s="12"/>
      <c r="L53" s="12"/>
    </row>
    <row r="54" spans="2:12" x14ac:dyDescent="0.2">
      <c r="B54" s="12"/>
      <c r="C54" s="6"/>
      <c r="D54" s="6"/>
      <c r="E54" s="12"/>
      <c r="F54" s="6"/>
      <c r="G54" s="13"/>
      <c r="H54" s="13"/>
      <c r="I54" s="14"/>
      <c r="J54" s="14"/>
      <c r="K54" s="12"/>
      <c r="L54" s="12"/>
    </row>
    <row r="55" spans="2:12" x14ac:dyDescent="0.2">
      <c r="B55" s="12"/>
      <c r="C55" s="6"/>
      <c r="D55" s="6"/>
      <c r="E55" s="12"/>
      <c r="F55" s="6"/>
      <c r="G55" s="13"/>
      <c r="H55" s="13"/>
      <c r="I55" s="14"/>
      <c r="J55" s="14"/>
      <c r="K55" s="12"/>
      <c r="L55" s="12"/>
    </row>
    <row r="56" spans="2:12" x14ac:dyDescent="0.2">
      <c r="B56" s="12"/>
      <c r="C56" s="6"/>
      <c r="D56" s="6"/>
      <c r="E56" s="12"/>
      <c r="F56" s="6"/>
      <c r="G56" s="13"/>
      <c r="H56" s="13"/>
      <c r="I56" s="14"/>
      <c r="J56" s="14"/>
      <c r="K56" s="12"/>
      <c r="L56" s="12"/>
    </row>
    <row r="57" spans="2:12" x14ac:dyDescent="0.2">
      <c r="B57" s="12"/>
      <c r="C57" s="6"/>
      <c r="D57" s="6"/>
      <c r="E57" s="12"/>
      <c r="F57" s="6"/>
      <c r="G57" s="13"/>
      <c r="H57" s="13"/>
      <c r="I57" s="14"/>
      <c r="J57" s="14"/>
      <c r="K57" s="12"/>
      <c r="L57" s="12"/>
    </row>
    <row r="58" spans="2:12" x14ac:dyDescent="0.2">
      <c r="B58" s="12"/>
      <c r="C58" s="6"/>
      <c r="D58" s="6"/>
      <c r="E58" s="12"/>
      <c r="F58" s="6"/>
      <c r="G58" s="13"/>
      <c r="H58" s="13"/>
      <c r="I58" s="14"/>
      <c r="J58" s="14"/>
      <c r="K58" s="12"/>
      <c r="L58" s="12"/>
    </row>
    <row r="59" spans="2:12" x14ac:dyDescent="0.2">
      <c r="B59" s="12"/>
      <c r="C59" s="6"/>
      <c r="D59" s="6"/>
      <c r="E59" s="12"/>
      <c r="F59" s="6"/>
      <c r="G59" s="13"/>
      <c r="H59" s="13"/>
      <c r="I59" s="14"/>
      <c r="J59" s="14"/>
      <c r="K59" s="12"/>
      <c r="L59" s="12"/>
    </row>
    <row r="60" spans="2:12" x14ac:dyDescent="0.2">
      <c r="B60" s="12"/>
      <c r="C60" s="6"/>
      <c r="D60" s="6"/>
      <c r="E60" s="12"/>
      <c r="F60" s="6"/>
      <c r="G60" s="13"/>
      <c r="H60" s="13"/>
      <c r="I60" s="14"/>
      <c r="J60" s="14"/>
      <c r="K60" s="12"/>
      <c r="L60" s="12"/>
    </row>
    <row r="61" spans="2:12" x14ac:dyDescent="0.2">
      <c r="B61" s="12"/>
      <c r="C61" s="6"/>
      <c r="D61" s="6"/>
      <c r="E61" s="12"/>
      <c r="F61" s="6"/>
      <c r="G61" s="13"/>
      <c r="H61" s="13"/>
      <c r="I61" s="14"/>
      <c r="J61" s="14"/>
      <c r="K61" s="12"/>
      <c r="L61" s="12"/>
    </row>
    <row r="62" spans="2:12" x14ac:dyDescent="0.2">
      <c r="B62" s="12"/>
      <c r="C62" s="6"/>
      <c r="D62" s="6"/>
      <c r="E62" s="12"/>
      <c r="F62" s="6"/>
      <c r="G62" s="13"/>
      <c r="H62" s="13"/>
      <c r="I62" s="14"/>
      <c r="J62" s="14"/>
      <c r="K62" s="12"/>
      <c r="L62" s="12"/>
    </row>
    <row r="63" spans="2:12" x14ac:dyDescent="0.2">
      <c r="B63" s="12"/>
      <c r="C63" s="6"/>
      <c r="D63" s="6"/>
      <c r="E63" s="12"/>
      <c r="F63" s="6"/>
      <c r="G63" s="13"/>
      <c r="H63" s="13"/>
      <c r="I63" s="14"/>
      <c r="J63" s="14"/>
      <c r="K63" s="12"/>
      <c r="L63" s="12"/>
    </row>
    <row r="64" spans="2:12" x14ac:dyDescent="0.2">
      <c r="B64" s="12"/>
      <c r="C64" s="6"/>
      <c r="D64" s="6"/>
      <c r="E64" s="12"/>
      <c r="F64" s="6"/>
      <c r="G64" s="13"/>
      <c r="H64" s="13"/>
      <c r="I64" s="14"/>
      <c r="J64" s="14"/>
      <c r="K64" s="12"/>
      <c r="L64" s="12"/>
    </row>
    <row r="65" spans="2:12" x14ac:dyDescent="0.2">
      <c r="B65" s="12"/>
      <c r="C65" s="6"/>
      <c r="D65" s="6"/>
      <c r="E65" s="12"/>
      <c r="F65" s="6"/>
      <c r="G65" s="13"/>
      <c r="H65" s="13"/>
      <c r="I65" s="14"/>
      <c r="J65" s="14"/>
      <c r="K65" s="12"/>
      <c r="L65" s="12"/>
    </row>
    <row r="66" spans="2:12" x14ac:dyDescent="0.2">
      <c r="B66" s="12"/>
      <c r="C66" s="6"/>
      <c r="D66" s="6"/>
      <c r="E66" s="12"/>
      <c r="F66" s="6"/>
      <c r="G66" s="13"/>
      <c r="H66" s="13"/>
      <c r="I66" s="14"/>
      <c r="J66" s="14"/>
      <c r="K66" s="12"/>
      <c r="L66" s="12"/>
    </row>
    <row r="67" spans="2:12" x14ac:dyDescent="0.2">
      <c r="B67" s="12"/>
      <c r="C67" s="6"/>
      <c r="D67" s="6"/>
      <c r="E67" s="12"/>
      <c r="F67" s="6"/>
      <c r="G67" s="13"/>
      <c r="H67" s="13"/>
      <c r="I67" s="14"/>
      <c r="J67" s="14"/>
      <c r="K67" s="12"/>
      <c r="L67" s="12"/>
    </row>
    <row r="68" spans="2:12" x14ac:dyDescent="0.2">
      <c r="B68" s="12"/>
      <c r="C68" s="6"/>
      <c r="D68" s="6"/>
      <c r="E68" s="12"/>
      <c r="F68" s="6"/>
      <c r="G68" s="13"/>
      <c r="H68" s="13"/>
      <c r="I68" s="14"/>
      <c r="J68" s="14"/>
      <c r="K68" s="12"/>
      <c r="L68" s="12"/>
    </row>
    <row r="69" spans="2:12" x14ac:dyDescent="0.2">
      <c r="B69" s="12"/>
      <c r="C69" s="6"/>
      <c r="D69" s="6"/>
      <c r="E69" s="12"/>
      <c r="F69" s="6"/>
      <c r="G69" s="13"/>
      <c r="H69" s="13"/>
      <c r="I69" s="14"/>
      <c r="J69" s="14"/>
      <c r="K69" s="12"/>
      <c r="L69" s="12"/>
    </row>
    <row r="70" spans="2:12" x14ac:dyDescent="0.2">
      <c r="B70" s="12"/>
      <c r="C70" s="6"/>
      <c r="D70" s="6"/>
      <c r="E70" s="12"/>
      <c r="F70" s="6"/>
      <c r="G70" s="13"/>
      <c r="H70" s="13"/>
      <c r="I70" s="14"/>
      <c r="J70" s="14"/>
      <c r="K70" s="12"/>
      <c r="L70" s="12"/>
    </row>
    <row r="71" spans="2:12" x14ac:dyDescent="0.2">
      <c r="B71" s="12"/>
      <c r="C71" s="6"/>
      <c r="D71" s="6"/>
      <c r="E71" s="12"/>
      <c r="F71" s="6"/>
      <c r="G71" s="13"/>
      <c r="H71" s="13"/>
      <c r="I71" s="14"/>
      <c r="J71" s="14"/>
      <c r="K71" s="12"/>
      <c r="L71" s="12"/>
    </row>
    <row r="72" spans="2:12" x14ac:dyDescent="0.2">
      <c r="B72" s="12"/>
      <c r="C72" s="6"/>
      <c r="D72" s="6"/>
      <c r="E72" s="12"/>
      <c r="F72" s="6"/>
      <c r="G72" s="13"/>
      <c r="H72" s="13"/>
      <c r="I72" s="14"/>
      <c r="J72" s="14"/>
      <c r="K72" s="12"/>
      <c r="L72" s="12"/>
    </row>
    <row r="73" spans="2:12" x14ac:dyDescent="0.2">
      <c r="B73" s="12"/>
      <c r="C73" s="6"/>
      <c r="D73" s="6"/>
      <c r="E73" s="12"/>
      <c r="F73" s="6"/>
      <c r="G73" s="13"/>
      <c r="H73" s="13"/>
      <c r="I73" s="14"/>
      <c r="J73" s="14"/>
      <c r="K73" s="12"/>
      <c r="L73" s="12"/>
    </row>
    <row r="74" spans="2:12" x14ac:dyDescent="0.2">
      <c r="B74" s="12"/>
      <c r="C74" s="6"/>
      <c r="D74" s="6"/>
      <c r="E74" s="12"/>
      <c r="F74" s="6"/>
      <c r="G74" s="13"/>
      <c r="H74" s="13"/>
      <c r="I74" s="14"/>
      <c r="J74" s="14"/>
      <c r="K74" s="12"/>
      <c r="L74" s="12"/>
    </row>
    <row r="75" spans="2:12" x14ac:dyDescent="0.2">
      <c r="B75" s="12"/>
      <c r="C75" s="6"/>
      <c r="D75" s="6"/>
      <c r="E75" s="12"/>
      <c r="F75" s="6"/>
      <c r="G75" s="13"/>
      <c r="H75" s="13"/>
      <c r="I75" s="14"/>
      <c r="J75" s="14"/>
      <c r="K75" s="12"/>
      <c r="L75" s="12"/>
    </row>
    <row r="76" spans="2:12" x14ac:dyDescent="0.2">
      <c r="B76" s="12"/>
      <c r="C76" s="6"/>
      <c r="D76" s="6"/>
      <c r="E76" s="12"/>
      <c r="F76" s="6"/>
      <c r="G76" s="13"/>
      <c r="H76" s="13"/>
      <c r="I76" s="14"/>
      <c r="J76" s="14"/>
      <c r="K76" s="12"/>
      <c r="L76" s="12"/>
    </row>
    <row r="77" spans="2:12" x14ac:dyDescent="0.2">
      <c r="B77" s="12"/>
      <c r="C77" s="6"/>
      <c r="D77" s="6"/>
      <c r="E77" s="12"/>
      <c r="F77" s="6"/>
      <c r="G77" s="13"/>
      <c r="H77" s="13"/>
      <c r="I77" s="14"/>
      <c r="J77" s="14"/>
      <c r="K77" s="12"/>
      <c r="L77" s="12"/>
    </row>
    <row r="78" spans="2:12" x14ac:dyDescent="0.2">
      <c r="B78" s="12"/>
      <c r="C78" s="6"/>
      <c r="D78" s="6"/>
      <c r="E78" s="12"/>
      <c r="F78" s="6"/>
      <c r="G78" s="13"/>
      <c r="H78" s="13"/>
      <c r="I78" s="14"/>
      <c r="J78" s="14"/>
      <c r="K78" s="12"/>
      <c r="L78" s="12"/>
    </row>
    <row r="79" spans="2:12" x14ac:dyDescent="0.2">
      <c r="B79" s="12"/>
      <c r="C79" s="6"/>
      <c r="D79" s="6"/>
      <c r="E79" s="12"/>
      <c r="F79" s="6"/>
      <c r="G79" s="13"/>
      <c r="H79" s="13"/>
      <c r="I79" s="14"/>
      <c r="J79" s="14"/>
      <c r="K79" s="12"/>
      <c r="L79" s="12"/>
    </row>
    <row r="80" spans="2:12" x14ac:dyDescent="0.2">
      <c r="B80" s="12"/>
      <c r="C80" s="6"/>
      <c r="D80" s="6"/>
      <c r="E80" s="12"/>
      <c r="F80" s="6"/>
      <c r="G80" s="13"/>
      <c r="H80" s="13"/>
      <c r="I80" s="14"/>
      <c r="J80" s="14"/>
      <c r="K80" s="12"/>
      <c r="L80" s="12"/>
    </row>
    <row r="81" spans="2:12" x14ac:dyDescent="0.2">
      <c r="B81" s="12"/>
      <c r="C81" s="6"/>
      <c r="D81" s="6"/>
      <c r="E81" s="12"/>
      <c r="F81" s="6"/>
      <c r="G81" s="13"/>
      <c r="H81" s="13"/>
      <c r="I81" s="14"/>
      <c r="J81" s="14"/>
      <c r="K81" s="12"/>
      <c r="L81" s="12"/>
    </row>
    <row r="82" spans="2:12" x14ac:dyDescent="0.2">
      <c r="B82" s="12"/>
      <c r="C82" s="6"/>
      <c r="D82" s="6"/>
      <c r="E82" s="12"/>
      <c r="F82" s="6"/>
      <c r="G82" s="13"/>
      <c r="H82" s="13"/>
      <c r="I82" s="14"/>
      <c r="J82" s="14"/>
      <c r="K82" s="12"/>
      <c r="L82" s="12"/>
    </row>
    <row r="83" spans="2:12" x14ac:dyDescent="0.2">
      <c r="B83" s="12"/>
      <c r="C83" s="6"/>
      <c r="D83" s="6"/>
      <c r="E83" s="12"/>
      <c r="F83" s="6"/>
      <c r="G83" s="13"/>
      <c r="H83" s="13"/>
      <c r="I83" s="14"/>
      <c r="J83" s="14"/>
      <c r="K83" s="12"/>
      <c r="L83" s="12"/>
    </row>
    <row r="84" spans="2:12" x14ac:dyDescent="0.2">
      <c r="B84" s="12"/>
      <c r="C84" s="6"/>
      <c r="D84" s="6"/>
      <c r="E84" s="12"/>
      <c r="F84" s="6"/>
      <c r="G84" s="13"/>
      <c r="H84" s="13"/>
      <c r="I84" s="14"/>
      <c r="J84" s="14"/>
      <c r="K84" s="12"/>
      <c r="L84" s="12"/>
    </row>
    <row r="85" spans="2:12" x14ac:dyDescent="0.2">
      <c r="B85" s="12"/>
      <c r="C85" s="6"/>
      <c r="D85" s="6"/>
      <c r="E85" s="12"/>
      <c r="F85" s="6"/>
      <c r="G85" s="13"/>
      <c r="H85" s="13"/>
      <c r="I85" s="14"/>
      <c r="J85" s="14"/>
      <c r="K85" s="12"/>
      <c r="L85" s="12"/>
    </row>
    <row r="86" spans="2:12" x14ac:dyDescent="0.2">
      <c r="B86" s="12"/>
      <c r="C86" s="6"/>
      <c r="D86" s="6"/>
      <c r="E86" s="12"/>
      <c r="F86" s="6"/>
      <c r="G86" s="13"/>
      <c r="H86" s="13"/>
      <c r="I86" s="14"/>
      <c r="J86" s="14"/>
      <c r="K86" s="12"/>
      <c r="L86" s="12"/>
    </row>
    <row r="87" spans="2:12" x14ac:dyDescent="0.2">
      <c r="B87" s="12"/>
      <c r="C87" s="6"/>
      <c r="D87" s="6"/>
      <c r="E87" s="12"/>
      <c r="F87" s="6"/>
      <c r="G87" s="13"/>
      <c r="H87" s="13"/>
      <c r="I87" s="14"/>
      <c r="J87" s="14"/>
      <c r="K87" s="12"/>
      <c r="L87" s="12"/>
    </row>
    <row r="88" spans="2:12" x14ac:dyDescent="0.2">
      <c r="B88" s="12"/>
      <c r="C88" s="6"/>
      <c r="D88" s="6"/>
      <c r="E88" s="12"/>
      <c r="F88" s="6"/>
      <c r="G88" s="13"/>
      <c r="H88" s="13"/>
      <c r="I88" s="14"/>
      <c r="J88" s="14"/>
      <c r="K88" s="12"/>
      <c r="L88" s="12"/>
    </row>
    <row r="89" spans="2:12" x14ac:dyDescent="0.2">
      <c r="B89" s="12"/>
      <c r="C89" s="6"/>
      <c r="D89" s="6"/>
      <c r="E89" s="12"/>
      <c r="F89" s="6"/>
      <c r="G89" s="13"/>
      <c r="H89" s="13"/>
      <c r="I89" s="14"/>
      <c r="J89" s="14"/>
      <c r="K89" s="12"/>
      <c r="L89" s="12"/>
    </row>
    <row r="90" spans="2:12" x14ac:dyDescent="0.2">
      <c r="B90" s="12"/>
      <c r="C90" s="6"/>
      <c r="D90" s="6"/>
      <c r="E90" s="12"/>
      <c r="F90" s="6"/>
      <c r="G90" s="13"/>
      <c r="H90" s="13"/>
      <c r="I90" s="14"/>
      <c r="J90" s="14"/>
      <c r="K90" s="12"/>
      <c r="L90" s="12"/>
    </row>
    <row r="91" spans="2:12" x14ac:dyDescent="0.2">
      <c r="B91" s="12"/>
      <c r="C91" s="6"/>
      <c r="D91" s="6"/>
      <c r="E91" s="12"/>
      <c r="F91" s="6"/>
      <c r="G91" s="13"/>
      <c r="H91" s="13"/>
      <c r="I91" s="14"/>
      <c r="J91" s="14"/>
      <c r="K91" s="12"/>
      <c r="L91" s="12"/>
    </row>
    <row r="92" spans="2:12" x14ac:dyDescent="0.2">
      <c r="B92" s="12"/>
      <c r="C92" s="6"/>
      <c r="D92" s="6"/>
      <c r="E92" s="12"/>
      <c r="F92" s="6"/>
      <c r="G92" s="13"/>
      <c r="H92" s="13"/>
      <c r="I92" s="14"/>
      <c r="J92" s="14"/>
      <c r="K92" s="12"/>
      <c r="L92" s="12"/>
    </row>
    <row r="93" spans="2:12" x14ac:dyDescent="0.2">
      <c r="B93" s="12"/>
      <c r="C93" s="6"/>
      <c r="D93" s="6"/>
      <c r="E93" s="12"/>
      <c r="F93" s="6"/>
      <c r="G93" s="13"/>
      <c r="H93" s="13"/>
      <c r="I93" s="14"/>
      <c r="J93" s="14"/>
      <c r="K93" s="12"/>
      <c r="L93" s="12"/>
    </row>
    <row r="94" spans="2:12" x14ac:dyDescent="0.2">
      <c r="B94" s="12"/>
      <c r="C94" s="6"/>
      <c r="D94" s="6"/>
      <c r="E94" s="12"/>
      <c r="F94" s="6"/>
      <c r="G94" s="13"/>
      <c r="H94" s="13"/>
      <c r="I94" s="14"/>
      <c r="J94" s="14"/>
      <c r="K94" s="12"/>
      <c r="L94" s="12"/>
    </row>
    <row r="95" spans="2:12" x14ac:dyDescent="0.2">
      <c r="B95" s="12"/>
      <c r="C95" s="6"/>
      <c r="D95" s="6"/>
      <c r="E95" s="12"/>
      <c r="F95" s="6"/>
      <c r="G95" s="13"/>
      <c r="H95" s="13"/>
      <c r="I95" s="14"/>
      <c r="J95" s="14"/>
      <c r="K95" s="12"/>
      <c r="L95" s="12"/>
    </row>
    <row r="96" spans="2:12" x14ac:dyDescent="0.2">
      <c r="B96" s="12"/>
      <c r="C96" s="6"/>
      <c r="D96" s="6"/>
      <c r="E96" s="12"/>
      <c r="F96" s="6"/>
      <c r="G96" s="13"/>
      <c r="H96" s="13"/>
      <c r="I96" s="14"/>
      <c r="J96" s="14"/>
      <c r="K96" s="12"/>
      <c r="L96" s="12"/>
    </row>
    <row r="97" spans="2:12" x14ac:dyDescent="0.2">
      <c r="B97" s="12"/>
      <c r="C97" s="6"/>
      <c r="D97" s="6"/>
      <c r="E97" s="12"/>
      <c r="F97" s="6"/>
      <c r="G97" s="13"/>
      <c r="H97" s="13"/>
      <c r="I97" s="14"/>
      <c r="J97" s="14"/>
      <c r="K97" s="12"/>
      <c r="L97" s="12"/>
    </row>
    <row r="98" spans="2:12" x14ac:dyDescent="0.2">
      <c r="B98" s="12"/>
      <c r="C98" s="6"/>
      <c r="D98" s="6"/>
      <c r="E98" s="12"/>
      <c r="F98" s="6"/>
      <c r="G98" s="13"/>
      <c r="H98" s="13"/>
      <c r="I98" s="14"/>
      <c r="J98" s="14"/>
      <c r="K98" s="12"/>
      <c r="L98" s="12"/>
    </row>
    <row r="99" spans="2:12" x14ac:dyDescent="0.2">
      <c r="B99" s="12"/>
      <c r="C99" s="6"/>
      <c r="D99" s="6"/>
      <c r="E99" s="12"/>
      <c r="F99" s="6"/>
      <c r="G99" s="13"/>
      <c r="H99" s="13"/>
      <c r="I99" s="14"/>
      <c r="J99" s="14"/>
      <c r="K99" s="12"/>
      <c r="L99" s="12"/>
    </row>
    <row r="100" spans="2:12" x14ac:dyDescent="0.2">
      <c r="B100" s="12"/>
      <c r="C100" s="6"/>
      <c r="D100" s="6"/>
      <c r="E100" s="12"/>
      <c r="F100" s="6"/>
      <c r="G100" s="13"/>
      <c r="H100" s="13"/>
      <c r="I100" s="14"/>
      <c r="J100" s="14"/>
      <c r="K100" s="12"/>
      <c r="L100" s="12"/>
    </row>
    <row r="101" spans="2:12" x14ac:dyDescent="0.2">
      <c r="B101" s="12"/>
      <c r="C101" s="6"/>
      <c r="D101" s="6"/>
      <c r="E101" s="12"/>
      <c r="F101" s="6"/>
      <c r="G101" s="13"/>
      <c r="H101" s="13"/>
      <c r="I101" s="14"/>
      <c r="J101" s="14"/>
      <c r="K101" s="12"/>
      <c r="L101" s="12"/>
    </row>
    <row r="102" spans="2:12" x14ac:dyDescent="0.2">
      <c r="B102" s="12"/>
      <c r="C102" s="6"/>
      <c r="D102" s="6"/>
      <c r="E102" s="12"/>
      <c r="F102" s="6"/>
      <c r="G102" s="13"/>
      <c r="H102" s="13"/>
      <c r="I102" s="14"/>
      <c r="J102" s="14"/>
      <c r="K102" s="12"/>
      <c r="L102" s="12"/>
    </row>
    <row r="103" spans="2:12" x14ac:dyDescent="0.2">
      <c r="B103" s="12"/>
      <c r="C103" s="6"/>
      <c r="D103" s="6"/>
      <c r="E103" s="12"/>
      <c r="F103" s="6"/>
      <c r="G103" s="13"/>
      <c r="H103" s="13"/>
      <c r="I103" s="14"/>
      <c r="J103" s="14"/>
      <c r="K103" s="12"/>
      <c r="L103" s="12"/>
    </row>
    <row r="104" spans="2:12" x14ac:dyDescent="0.2">
      <c r="B104" s="12"/>
      <c r="C104" s="6"/>
      <c r="D104" s="6"/>
      <c r="E104" s="12"/>
      <c r="F104" s="6"/>
      <c r="G104" s="13"/>
      <c r="H104" s="13"/>
      <c r="I104" s="14"/>
      <c r="J104" s="14"/>
      <c r="K104" s="12"/>
      <c r="L104" s="12"/>
    </row>
    <row r="105" spans="2:12" x14ac:dyDescent="0.2">
      <c r="B105" s="12"/>
      <c r="C105" s="6"/>
      <c r="D105" s="6"/>
      <c r="E105" s="12"/>
      <c r="F105" s="6"/>
      <c r="G105" s="13"/>
      <c r="H105" s="13"/>
      <c r="I105" s="14"/>
      <c r="J105" s="14"/>
      <c r="K105" s="12"/>
      <c r="L105" s="12"/>
    </row>
    <row r="106" spans="2:12" x14ac:dyDescent="0.2">
      <c r="B106" s="12"/>
      <c r="C106" s="6"/>
      <c r="D106" s="6"/>
      <c r="E106" s="12"/>
      <c r="F106" s="6"/>
      <c r="G106" s="13"/>
      <c r="H106" s="13"/>
      <c r="I106" s="14"/>
      <c r="J106" s="14"/>
      <c r="K106" s="12"/>
      <c r="L106" s="12"/>
    </row>
    <row r="107" spans="2:12" x14ac:dyDescent="0.2">
      <c r="B107" s="12"/>
      <c r="C107" s="6"/>
      <c r="D107" s="6"/>
      <c r="E107" s="12"/>
      <c r="F107" s="6"/>
      <c r="G107" s="13"/>
      <c r="H107" s="13"/>
      <c r="I107" s="14"/>
      <c r="J107" s="14"/>
      <c r="K107" s="12"/>
      <c r="L107" s="12"/>
    </row>
    <row r="108" spans="2:12" x14ac:dyDescent="0.2">
      <c r="B108" s="12"/>
      <c r="C108" s="6"/>
      <c r="D108" s="6"/>
      <c r="E108" s="12"/>
      <c r="F108" s="6"/>
      <c r="G108" s="13"/>
      <c r="H108" s="13"/>
      <c r="I108" s="14"/>
      <c r="J108" s="14"/>
      <c r="K108" s="12"/>
      <c r="L108" s="12"/>
    </row>
    <row r="109" spans="2:12" x14ac:dyDescent="0.2">
      <c r="B109" s="12"/>
      <c r="C109" s="6"/>
      <c r="D109" s="6"/>
      <c r="E109" s="12"/>
      <c r="F109" s="6"/>
      <c r="G109" s="13"/>
      <c r="H109" s="13"/>
      <c r="I109" s="14"/>
      <c r="J109" s="14"/>
      <c r="K109" s="12"/>
      <c r="L109" s="12"/>
    </row>
    <row r="110" spans="2:12" x14ac:dyDescent="0.2">
      <c r="B110" s="12"/>
      <c r="C110" s="6"/>
      <c r="D110" s="6"/>
      <c r="E110" s="12"/>
      <c r="F110" s="6"/>
      <c r="G110" s="13"/>
      <c r="H110" s="13"/>
      <c r="I110" s="14"/>
      <c r="J110" s="14"/>
      <c r="K110" s="12"/>
      <c r="L110" s="12"/>
    </row>
    <row r="111" spans="2:12" x14ac:dyDescent="0.2">
      <c r="B111" s="12"/>
      <c r="C111" s="6"/>
      <c r="D111" s="6"/>
      <c r="E111" s="12"/>
      <c r="F111" s="6"/>
      <c r="G111" s="13"/>
      <c r="H111" s="13"/>
      <c r="I111" s="14"/>
      <c r="J111" s="14"/>
      <c r="K111" s="12"/>
      <c r="L111" s="12"/>
    </row>
    <row r="112" spans="2:12" x14ac:dyDescent="0.2">
      <c r="B112" s="12"/>
      <c r="C112" s="6"/>
      <c r="D112" s="6"/>
      <c r="E112" s="12"/>
      <c r="F112" s="6"/>
      <c r="G112" s="13"/>
      <c r="H112" s="13"/>
      <c r="I112" s="14"/>
      <c r="J112" s="14"/>
      <c r="K112" s="12"/>
      <c r="L112" s="12"/>
    </row>
    <row r="113" spans="2:12" x14ac:dyDescent="0.2">
      <c r="B113" s="12"/>
      <c r="C113" s="6"/>
      <c r="D113" s="6"/>
      <c r="E113" s="12"/>
      <c r="F113" s="6"/>
      <c r="G113" s="13"/>
      <c r="H113" s="13"/>
      <c r="I113" s="14"/>
      <c r="J113" s="14"/>
      <c r="K113" s="12"/>
      <c r="L113" s="12"/>
    </row>
    <row r="114" spans="2:12" x14ac:dyDescent="0.2">
      <c r="B114" s="12"/>
      <c r="C114" s="6"/>
      <c r="D114" s="6"/>
      <c r="E114" s="12"/>
      <c r="F114" s="6"/>
      <c r="G114" s="13"/>
      <c r="H114" s="13"/>
      <c r="I114" s="14"/>
      <c r="J114" s="14"/>
      <c r="K114" s="12"/>
      <c r="L114" s="12"/>
    </row>
    <row r="115" spans="2:12" x14ac:dyDescent="0.2">
      <c r="B115" s="12"/>
      <c r="C115" s="6"/>
      <c r="D115" s="6"/>
      <c r="E115" s="12"/>
      <c r="F115" s="6"/>
      <c r="G115" s="13"/>
      <c r="H115" s="13"/>
      <c r="I115" s="14"/>
      <c r="J115" s="14"/>
      <c r="K115" s="12"/>
      <c r="L115" s="12"/>
    </row>
    <row r="116" spans="2:12" x14ac:dyDescent="0.2">
      <c r="B116" s="12"/>
      <c r="C116" s="6"/>
      <c r="D116" s="6"/>
      <c r="E116" s="12"/>
      <c r="F116" s="6"/>
      <c r="G116" s="13"/>
      <c r="H116" s="13"/>
      <c r="I116" s="14"/>
      <c r="J116" s="14"/>
      <c r="K116" s="12"/>
      <c r="L116" s="12"/>
    </row>
    <row r="117" spans="2:12" x14ac:dyDescent="0.2">
      <c r="B117" s="12"/>
      <c r="C117" s="6"/>
      <c r="D117" s="6"/>
      <c r="E117" s="12"/>
      <c r="F117" s="6"/>
      <c r="G117" s="13"/>
      <c r="H117" s="13"/>
      <c r="I117" s="14"/>
      <c r="J117" s="14"/>
      <c r="K117" s="12"/>
      <c r="L117" s="12"/>
    </row>
    <row r="118" spans="2:12" x14ac:dyDescent="0.2">
      <c r="B118" s="12"/>
      <c r="C118" s="6"/>
      <c r="D118" s="6"/>
      <c r="E118" s="12"/>
      <c r="F118" s="6"/>
      <c r="G118" s="13"/>
      <c r="H118" s="13"/>
      <c r="I118" s="14"/>
      <c r="J118" s="14"/>
      <c r="K118" s="12"/>
      <c r="L118" s="12"/>
    </row>
    <row r="119" spans="2:12" x14ac:dyDescent="0.2">
      <c r="B119" s="12"/>
      <c r="C119" s="6"/>
      <c r="D119" s="6"/>
      <c r="E119" s="12"/>
      <c r="F119" s="6"/>
      <c r="G119" s="13"/>
      <c r="H119" s="13"/>
      <c r="I119" s="14"/>
      <c r="J119" s="14"/>
      <c r="K119" s="12"/>
      <c r="L119" s="12"/>
    </row>
    <row r="120" spans="2:12" x14ac:dyDescent="0.2">
      <c r="B120" s="12"/>
      <c r="C120" s="6"/>
      <c r="D120" s="6"/>
      <c r="E120" s="12"/>
      <c r="F120" s="6"/>
      <c r="G120" s="13"/>
      <c r="H120" s="13"/>
      <c r="I120" s="14"/>
      <c r="J120" s="14"/>
      <c r="K120" s="12"/>
      <c r="L120" s="12"/>
    </row>
    <row r="121" spans="2:12" x14ac:dyDescent="0.2">
      <c r="B121" s="12"/>
      <c r="C121" s="6"/>
      <c r="D121" s="6"/>
      <c r="E121" s="12"/>
      <c r="F121" s="6"/>
      <c r="G121" s="13"/>
      <c r="H121" s="13"/>
      <c r="I121" s="14"/>
      <c r="J121" s="14"/>
      <c r="K121" s="12"/>
      <c r="L121" s="12"/>
    </row>
    <row r="122" spans="2:12" x14ac:dyDescent="0.2">
      <c r="B122" s="12"/>
      <c r="C122" s="6"/>
      <c r="D122" s="6"/>
      <c r="E122" s="12"/>
      <c r="F122" s="6"/>
      <c r="G122" s="13"/>
      <c r="H122" s="13"/>
      <c r="I122" s="14"/>
      <c r="J122" s="14"/>
      <c r="K122" s="12"/>
      <c r="L122" s="12"/>
    </row>
    <row r="123" spans="2:12" x14ac:dyDescent="0.2">
      <c r="B123" s="12"/>
      <c r="C123" s="6"/>
      <c r="D123" s="6"/>
      <c r="E123" s="12"/>
      <c r="F123" s="6"/>
      <c r="G123" s="13"/>
      <c r="H123" s="13"/>
      <c r="I123" s="14"/>
      <c r="J123" s="14"/>
      <c r="K123" s="12"/>
      <c r="L123" s="12"/>
    </row>
    <row r="124" spans="2:12" x14ac:dyDescent="0.2">
      <c r="B124" s="12"/>
      <c r="C124" s="6"/>
      <c r="D124" s="6"/>
      <c r="E124" s="12"/>
      <c r="F124" s="6"/>
      <c r="G124" s="13"/>
      <c r="H124" s="13"/>
      <c r="I124" s="14"/>
      <c r="J124" s="14"/>
      <c r="K124" s="12"/>
      <c r="L124" s="12"/>
    </row>
    <row r="125" spans="2:12" x14ac:dyDescent="0.2">
      <c r="B125" s="12"/>
      <c r="C125" s="6"/>
      <c r="D125" s="6"/>
      <c r="E125" s="12"/>
      <c r="F125" s="6"/>
      <c r="G125" s="13"/>
      <c r="H125" s="13"/>
      <c r="I125" s="14"/>
      <c r="J125" s="14"/>
      <c r="K125" s="12"/>
      <c r="L125" s="12"/>
    </row>
    <row r="126" spans="2:12" x14ac:dyDescent="0.2">
      <c r="B126" s="12"/>
      <c r="C126" s="6"/>
      <c r="D126" s="6"/>
      <c r="E126" s="12"/>
      <c r="F126" s="6"/>
      <c r="G126" s="13"/>
      <c r="H126" s="13"/>
      <c r="I126" s="14"/>
      <c r="J126" s="14"/>
      <c r="K126" s="12"/>
      <c r="L126" s="12"/>
    </row>
    <row r="127" spans="2:12" x14ac:dyDescent="0.2">
      <c r="B127" s="12"/>
      <c r="C127" s="6"/>
      <c r="D127" s="6"/>
      <c r="E127" s="12"/>
      <c r="F127" s="6"/>
      <c r="G127" s="13"/>
      <c r="H127" s="13"/>
      <c r="I127" s="14"/>
      <c r="J127" s="14"/>
      <c r="K127" s="12"/>
      <c r="L127" s="12"/>
    </row>
    <row r="128" spans="2:12" x14ac:dyDescent="0.2">
      <c r="B128" s="12"/>
      <c r="C128" s="6"/>
      <c r="D128" s="6"/>
      <c r="E128" s="12"/>
      <c r="F128" s="6"/>
      <c r="G128" s="13"/>
      <c r="H128" s="13"/>
      <c r="I128" s="14"/>
      <c r="J128" s="14"/>
      <c r="K128" s="12"/>
      <c r="L128" s="12"/>
    </row>
    <row r="129" spans="2:12" x14ac:dyDescent="0.2">
      <c r="B129" s="12"/>
      <c r="C129" s="6"/>
      <c r="D129" s="6"/>
      <c r="E129" s="12"/>
      <c r="F129" s="6"/>
      <c r="G129" s="13"/>
      <c r="H129" s="13"/>
      <c r="I129" s="14"/>
      <c r="J129" s="14"/>
      <c r="K129" s="12"/>
      <c r="L129" s="12"/>
    </row>
    <row r="130" spans="2:12" x14ac:dyDescent="0.2">
      <c r="B130" s="12"/>
      <c r="C130" s="6"/>
      <c r="D130" s="6"/>
      <c r="E130" s="12"/>
      <c r="F130" s="6"/>
      <c r="G130" s="13"/>
      <c r="H130" s="13"/>
      <c r="I130" s="14"/>
      <c r="J130" s="14"/>
      <c r="K130" s="12"/>
      <c r="L130" s="12"/>
    </row>
    <row r="131" spans="2:12" x14ac:dyDescent="0.2">
      <c r="B131" s="12"/>
      <c r="C131" s="6"/>
      <c r="D131" s="6"/>
      <c r="E131" s="12"/>
      <c r="F131" s="6"/>
      <c r="G131" s="13"/>
      <c r="H131" s="13"/>
      <c r="I131" s="14"/>
      <c r="J131" s="14"/>
      <c r="K131" s="12"/>
      <c r="L131" s="12"/>
    </row>
    <row r="132" spans="2:12" x14ac:dyDescent="0.2">
      <c r="B132" s="12"/>
      <c r="C132" s="6"/>
      <c r="D132" s="6"/>
      <c r="E132" s="12"/>
      <c r="F132" s="6"/>
      <c r="G132" s="13"/>
      <c r="H132" s="13"/>
      <c r="I132" s="14"/>
      <c r="J132" s="14"/>
      <c r="K132" s="12"/>
      <c r="L132" s="12"/>
    </row>
    <row r="133" spans="2:12" x14ac:dyDescent="0.2">
      <c r="B133" s="12"/>
      <c r="C133" s="6"/>
      <c r="D133" s="6"/>
      <c r="E133" s="12"/>
      <c r="F133" s="6"/>
      <c r="G133" s="13"/>
      <c r="H133" s="13"/>
      <c r="I133" s="14"/>
      <c r="J133" s="14"/>
      <c r="K133" s="12"/>
      <c r="L133" s="12"/>
    </row>
    <row r="134" spans="2:12" x14ac:dyDescent="0.2">
      <c r="B134" s="12"/>
      <c r="C134" s="6"/>
      <c r="D134" s="6"/>
      <c r="E134" s="12"/>
      <c r="F134" s="6"/>
      <c r="G134" s="13"/>
      <c r="H134" s="13"/>
      <c r="I134" s="14"/>
      <c r="J134" s="14"/>
      <c r="K134" s="12"/>
      <c r="L134" s="12"/>
    </row>
    <row r="135" spans="2:12" x14ac:dyDescent="0.2">
      <c r="B135" s="12"/>
      <c r="C135" s="6"/>
      <c r="D135" s="6"/>
      <c r="E135" s="12"/>
      <c r="F135" s="6"/>
      <c r="G135" s="13"/>
      <c r="H135" s="13"/>
      <c r="I135" s="14"/>
      <c r="J135" s="14"/>
      <c r="K135" s="12"/>
      <c r="L135" s="12"/>
    </row>
    <row r="136" spans="2:12" x14ac:dyDescent="0.2">
      <c r="B136" s="12"/>
      <c r="C136" s="6"/>
      <c r="D136" s="6"/>
      <c r="E136" s="12"/>
      <c r="F136" s="6"/>
      <c r="G136" s="13"/>
      <c r="H136" s="13"/>
      <c r="I136" s="14"/>
      <c r="J136" s="14"/>
      <c r="K136" s="12"/>
      <c r="L136" s="12"/>
    </row>
    <row r="137" spans="2:12" x14ac:dyDescent="0.2">
      <c r="B137" s="12"/>
      <c r="C137" s="6"/>
      <c r="D137" s="6"/>
      <c r="E137" s="12"/>
      <c r="F137" s="6"/>
      <c r="G137" s="13"/>
      <c r="H137" s="13"/>
      <c r="I137" s="14"/>
      <c r="J137" s="14"/>
      <c r="K137" s="12"/>
      <c r="L137" s="12"/>
    </row>
    <row r="138" spans="2:12" x14ac:dyDescent="0.2">
      <c r="B138" s="12"/>
      <c r="C138" s="6"/>
      <c r="D138" s="6"/>
      <c r="E138" s="12"/>
      <c r="F138" s="6"/>
      <c r="G138" s="13"/>
      <c r="H138" s="13"/>
      <c r="I138" s="14"/>
      <c r="J138" s="14"/>
      <c r="K138" s="12"/>
      <c r="L138" s="12"/>
    </row>
    <row r="139" spans="2:12" x14ac:dyDescent="0.2">
      <c r="B139" s="12"/>
      <c r="C139" s="6"/>
      <c r="D139" s="6"/>
      <c r="E139" s="12"/>
      <c r="F139" s="6"/>
      <c r="G139" s="13"/>
      <c r="H139" s="13"/>
      <c r="I139" s="14"/>
      <c r="J139" s="14"/>
      <c r="K139" s="12"/>
      <c r="L139" s="12"/>
    </row>
    <row r="140" spans="2:12" x14ac:dyDescent="0.2">
      <c r="B140" s="12"/>
      <c r="C140" s="6"/>
      <c r="D140" s="6"/>
      <c r="E140" s="12"/>
      <c r="F140" s="6"/>
      <c r="G140" s="13"/>
      <c r="H140" s="13"/>
      <c r="I140" s="14"/>
      <c r="J140" s="14"/>
      <c r="K140" s="12"/>
      <c r="L140" s="12"/>
    </row>
    <row r="141" spans="2:12" x14ac:dyDescent="0.2">
      <c r="B141" s="12"/>
      <c r="C141" s="6"/>
      <c r="D141" s="6"/>
      <c r="E141" s="12"/>
      <c r="F141" s="6"/>
      <c r="G141" s="13"/>
      <c r="H141" s="13"/>
      <c r="I141" s="14"/>
      <c r="J141" s="14"/>
      <c r="K141" s="12"/>
      <c r="L141" s="12"/>
    </row>
    <row r="142" spans="2:12" x14ac:dyDescent="0.2">
      <c r="B142" s="12"/>
      <c r="C142" s="6"/>
      <c r="D142" s="6"/>
      <c r="E142" s="12"/>
      <c r="F142" s="6"/>
      <c r="G142" s="13"/>
      <c r="H142" s="13"/>
      <c r="I142" s="14"/>
      <c r="J142" s="14"/>
      <c r="K142" s="12"/>
      <c r="L142" s="12"/>
    </row>
    <row r="143" spans="2:12" x14ac:dyDescent="0.2">
      <c r="B143" s="12"/>
      <c r="C143" s="6"/>
      <c r="D143" s="6"/>
      <c r="E143" s="12"/>
      <c r="F143" s="6"/>
      <c r="G143" s="13"/>
      <c r="H143" s="13"/>
      <c r="I143" s="14"/>
      <c r="J143" s="14"/>
      <c r="K143" s="12"/>
      <c r="L143" s="12"/>
    </row>
    <row r="144" spans="2:12" x14ac:dyDescent="0.2">
      <c r="B144" s="12"/>
      <c r="C144" s="6"/>
      <c r="D144" s="6"/>
      <c r="E144" s="12"/>
      <c r="F144" s="6"/>
      <c r="G144" s="13"/>
      <c r="H144" s="13"/>
      <c r="I144" s="14"/>
      <c r="J144" s="14"/>
      <c r="K144" s="12"/>
      <c r="L144" s="12"/>
    </row>
    <row r="145" spans="2:12" x14ac:dyDescent="0.2">
      <c r="B145" s="12"/>
      <c r="C145" s="6"/>
      <c r="D145" s="6"/>
      <c r="E145" s="12"/>
      <c r="F145" s="6"/>
      <c r="G145" s="13"/>
      <c r="H145" s="13"/>
      <c r="I145" s="14"/>
      <c r="J145" s="14"/>
      <c r="K145" s="12"/>
      <c r="L145" s="12"/>
    </row>
    <row r="146" spans="2:12" x14ac:dyDescent="0.2">
      <c r="B146" s="12"/>
      <c r="C146" s="6"/>
      <c r="D146" s="6"/>
      <c r="E146" s="12"/>
      <c r="F146" s="6"/>
      <c r="G146" s="13"/>
      <c r="H146" s="13"/>
      <c r="I146" s="14"/>
      <c r="J146" s="14"/>
      <c r="K146" s="12"/>
      <c r="L146" s="12"/>
    </row>
    <row r="147" spans="2:12" x14ac:dyDescent="0.2">
      <c r="B147" s="12"/>
      <c r="C147" s="6"/>
      <c r="D147" s="6"/>
      <c r="E147" s="12"/>
      <c r="F147" s="6"/>
      <c r="G147" s="13"/>
      <c r="H147" s="13"/>
      <c r="I147" s="14"/>
      <c r="J147" s="14"/>
      <c r="K147" s="12"/>
      <c r="L147" s="12"/>
    </row>
    <row r="148" spans="2:12" x14ac:dyDescent="0.2">
      <c r="B148" s="12"/>
      <c r="C148" s="6"/>
      <c r="D148" s="6"/>
      <c r="E148" s="12"/>
      <c r="F148" s="6"/>
      <c r="G148" s="13"/>
      <c r="H148" s="13"/>
      <c r="I148" s="14"/>
      <c r="J148" s="14"/>
      <c r="K148" s="12"/>
      <c r="L148" s="12"/>
    </row>
    <row r="149" spans="2:12" x14ac:dyDescent="0.2">
      <c r="B149" s="12"/>
      <c r="C149" s="6"/>
      <c r="D149" s="6"/>
      <c r="E149" s="12"/>
      <c r="F149" s="6"/>
      <c r="G149" s="13"/>
      <c r="H149" s="13"/>
      <c r="I149" s="14"/>
      <c r="J149" s="14"/>
      <c r="K149" s="12"/>
      <c r="L149" s="12"/>
    </row>
    <row r="150" spans="2:12" x14ac:dyDescent="0.2">
      <c r="B150" s="12"/>
      <c r="C150" s="6"/>
      <c r="D150" s="6"/>
      <c r="E150" s="12"/>
      <c r="F150" s="6"/>
      <c r="G150" s="13"/>
      <c r="H150" s="13"/>
      <c r="I150" s="14"/>
      <c r="J150" s="14"/>
      <c r="K150" s="12"/>
      <c r="L150" s="12"/>
    </row>
    <row r="151" spans="2:12" x14ac:dyDescent="0.2">
      <c r="B151" s="12"/>
      <c r="C151" s="6"/>
      <c r="D151" s="6"/>
      <c r="E151" s="12"/>
      <c r="F151" s="6"/>
      <c r="G151" s="13"/>
      <c r="H151" s="13"/>
      <c r="I151" s="14"/>
      <c r="J151" s="14"/>
      <c r="K151" s="12"/>
      <c r="L151" s="12"/>
    </row>
    <row r="152" spans="2:12" x14ac:dyDescent="0.2">
      <c r="B152" s="12"/>
      <c r="C152" s="6"/>
      <c r="D152" s="6"/>
      <c r="E152" s="12"/>
      <c r="F152" s="6"/>
      <c r="G152" s="13"/>
      <c r="H152" s="13"/>
      <c r="I152" s="14"/>
      <c r="J152" s="14"/>
      <c r="K152" s="12"/>
      <c r="L152" s="12"/>
    </row>
    <row r="153" spans="2:12" x14ac:dyDescent="0.2">
      <c r="B153" s="12"/>
      <c r="C153" s="6"/>
      <c r="D153" s="6"/>
      <c r="E153" s="12"/>
      <c r="F153" s="6"/>
      <c r="G153" s="13"/>
      <c r="H153" s="13"/>
      <c r="I153" s="14"/>
      <c r="J153" s="14"/>
      <c r="K153" s="12"/>
      <c r="L153" s="12"/>
    </row>
    <row r="154" spans="2:12" x14ac:dyDescent="0.2">
      <c r="B154" s="12"/>
      <c r="C154" s="6"/>
      <c r="D154" s="6"/>
      <c r="E154" s="12"/>
      <c r="F154" s="6"/>
      <c r="G154" s="13"/>
      <c r="H154" s="13"/>
      <c r="I154" s="14"/>
      <c r="J154" s="14"/>
      <c r="K154" s="12"/>
      <c r="L154" s="12"/>
    </row>
    <row r="155" spans="2:12" x14ac:dyDescent="0.2">
      <c r="B155" s="12"/>
      <c r="C155" s="6"/>
      <c r="D155" s="6"/>
      <c r="E155" s="12"/>
      <c r="F155" s="6"/>
      <c r="G155" s="13"/>
      <c r="H155" s="13"/>
      <c r="I155" s="14"/>
      <c r="J155" s="14"/>
      <c r="K155" s="12"/>
      <c r="L155" s="12"/>
    </row>
    <row r="156" spans="2:12" x14ac:dyDescent="0.2">
      <c r="B156" s="12"/>
      <c r="C156" s="6"/>
      <c r="D156" s="6"/>
      <c r="E156" s="12"/>
      <c r="F156" s="6"/>
      <c r="G156" s="13"/>
      <c r="H156" s="13"/>
      <c r="I156" s="14"/>
      <c r="J156" s="14"/>
      <c r="K156" s="12"/>
      <c r="L156" s="12"/>
    </row>
    <row r="157" spans="2:12" x14ac:dyDescent="0.2">
      <c r="B157" s="12"/>
      <c r="C157" s="6"/>
      <c r="D157" s="6"/>
      <c r="E157" s="12"/>
      <c r="F157" s="6"/>
      <c r="G157" s="13"/>
      <c r="H157" s="13"/>
      <c r="I157" s="14"/>
      <c r="J157" s="14"/>
      <c r="K157" s="12"/>
      <c r="L157" s="12"/>
    </row>
    <row r="158" spans="2:12" x14ac:dyDescent="0.2">
      <c r="B158" s="12"/>
      <c r="C158" s="6"/>
      <c r="D158" s="6"/>
      <c r="E158" s="12"/>
      <c r="F158" s="6"/>
      <c r="G158" s="13"/>
      <c r="H158" s="13"/>
      <c r="I158" s="14"/>
      <c r="J158" s="14"/>
      <c r="K158" s="12"/>
      <c r="L158" s="12"/>
    </row>
    <row r="159" spans="2:12" x14ac:dyDescent="0.2">
      <c r="B159" s="12"/>
      <c r="C159" s="6"/>
      <c r="D159" s="6"/>
      <c r="E159" s="12"/>
      <c r="F159" s="6"/>
      <c r="G159" s="13"/>
      <c r="H159" s="13"/>
      <c r="I159" s="14"/>
      <c r="J159" s="14"/>
      <c r="K159" s="12"/>
      <c r="L159" s="12"/>
    </row>
    <row r="160" spans="2:12" x14ac:dyDescent="0.2">
      <c r="B160" s="12"/>
      <c r="C160" s="6"/>
      <c r="D160" s="6"/>
      <c r="E160" s="12"/>
      <c r="F160" s="6"/>
      <c r="G160" s="13"/>
      <c r="H160" s="13"/>
      <c r="I160" s="14"/>
      <c r="J160" s="14"/>
      <c r="K160" s="12"/>
      <c r="L160" s="12"/>
    </row>
    <row r="161" spans="2:12" x14ac:dyDescent="0.2">
      <c r="B161" s="12"/>
      <c r="C161" s="6"/>
      <c r="D161" s="6"/>
      <c r="E161" s="12"/>
      <c r="F161" s="6"/>
      <c r="G161" s="13"/>
      <c r="H161" s="13"/>
      <c r="I161" s="14"/>
      <c r="J161" s="14"/>
      <c r="K161" s="12"/>
      <c r="L161" s="12"/>
    </row>
    <row r="162" spans="2:12" x14ac:dyDescent="0.2">
      <c r="B162" s="12"/>
      <c r="C162" s="6"/>
      <c r="D162" s="6"/>
      <c r="E162" s="12"/>
      <c r="F162" s="6"/>
      <c r="G162" s="13"/>
      <c r="H162" s="13"/>
      <c r="I162" s="14"/>
      <c r="J162" s="14"/>
      <c r="K162" s="12"/>
      <c r="L162" s="12"/>
    </row>
    <row r="163" spans="2:12" x14ac:dyDescent="0.2">
      <c r="B163" s="12"/>
      <c r="C163" s="6"/>
      <c r="D163" s="6"/>
      <c r="E163" s="12"/>
      <c r="F163" s="6"/>
      <c r="G163" s="13"/>
      <c r="H163" s="13"/>
      <c r="I163" s="14"/>
      <c r="J163" s="14"/>
      <c r="K163" s="12"/>
      <c r="L163" s="12"/>
    </row>
    <row r="164" spans="2:12" x14ac:dyDescent="0.2">
      <c r="B164" s="12"/>
      <c r="C164" s="6"/>
      <c r="D164" s="6"/>
      <c r="E164" s="12"/>
      <c r="F164" s="6"/>
      <c r="G164" s="13"/>
      <c r="H164" s="13"/>
      <c r="I164" s="14"/>
      <c r="J164" s="14"/>
      <c r="K164" s="12"/>
      <c r="L164" s="12"/>
    </row>
    <row r="165" spans="2:12" x14ac:dyDescent="0.2">
      <c r="B165" s="12"/>
      <c r="C165" s="6"/>
      <c r="D165" s="6"/>
      <c r="E165" s="12"/>
      <c r="F165" s="6"/>
      <c r="G165" s="13"/>
      <c r="H165" s="13"/>
      <c r="I165" s="14"/>
      <c r="J165" s="14"/>
      <c r="K165" s="12"/>
      <c r="L165" s="12"/>
    </row>
    <row r="166" spans="2:12" x14ac:dyDescent="0.2">
      <c r="B166" s="12"/>
      <c r="C166" s="6"/>
      <c r="D166" s="6"/>
      <c r="E166" s="12"/>
      <c r="F166" s="6"/>
      <c r="G166" s="13"/>
      <c r="H166" s="13"/>
      <c r="I166" s="14"/>
      <c r="J166" s="14"/>
      <c r="K166" s="12"/>
      <c r="L166" s="12"/>
    </row>
    <row r="167" spans="2:12" x14ac:dyDescent="0.2">
      <c r="B167" s="12"/>
      <c r="C167" s="6"/>
      <c r="D167" s="6"/>
      <c r="E167" s="12"/>
      <c r="F167" s="6"/>
      <c r="G167" s="13"/>
      <c r="H167" s="13"/>
      <c r="I167" s="14"/>
      <c r="J167" s="14"/>
      <c r="K167" s="12"/>
      <c r="L167" s="12"/>
    </row>
    <row r="168" spans="2:12" x14ac:dyDescent="0.2">
      <c r="B168" s="12"/>
      <c r="C168" s="6"/>
      <c r="D168" s="6"/>
      <c r="E168" s="12"/>
      <c r="F168" s="6"/>
      <c r="G168" s="13"/>
      <c r="H168" s="13"/>
      <c r="I168" s="14"/>
      <c r="J168" s="14"/>
      <c r="K168" s="12"/>
      <c r="L168" s="12"/>
    </row>
    <row r="169" spans="2:12" x14ac:dyDescent="0.2">
      <c r="B169" s="12"/>
      <c r="C169" s="6"/>
      <c r="D169" s="6"/>
      <c r="E169" s="12"/>
      <c r="F169" s="6"/>
      <c r="G169" s="13"/>
      <c r="H169" s="13"/>
      <c r="I169" s="14"/>
      <c r="J169" s="14"/>
      <c r="K169" s="12"/>
      <c r="L169" s="12"/>
    </row>
    <row r="170" spans="2:12" x14ac:dyDescent="0.2">
      <c r="B170" s="12"/>
      <c r="C170" s="6"/>
      <c r="D170" s="6"/>
      <c r="E170" s="12"/>
      <c r="F170" s="6"/>
      <c r="G170" s="13"/>
      <c r="H170" s="13"/>
      <c r="I170" s="14"/>
      <c r="J170" s="14"/>
      <c r="K170" s="12"/>
      <c r="L170" s="12"/>
    </row>
    <row r="171" spans="2:12" x14ac:dyDescent="0.2">
      <c r="B171" s="12"/>
      <c r="C171" s="6"/>
      <c r="D171" s="6"/>
      <c r="E171" s="12"/>
      <c r="F171" s="6"/>
      <c r="G171" s="13"/>
      <c r="H171" s="13"/>
      <c r="I171" s="14"/>
      <c r="J171" s="14"/>
      <c r="K171" s="12"/>
      <c r="L171" s="12"/>
    </row>
    <row r="172" spans="2:12" x14ac:dyDescent="0.2">
      <c r="B172" s="12"/>
      <c r="C172" s="6"/>
      <c r="D172" s="6"/>
      <c r="E172" s="12"/>
      <c r="F172" s="6"/>
      <c r="G172" s="13"/>
      <c r="H172" s="13"/>
      <c r="I172" s="14"/>
      <c r="J172" s="14"/>
      <c r="K172" s="12"/>
      <c r="L172" s="12"/>
    </row>
    <row r="173" spans="2:12" x14ac:dyDescent="0.2">
      <c r="B173" s="12"/>
      <c r="C173" s="6"/>
      <c r="D173" s="6"/>
      <c r="E173" s="12"/>
      <c r="F173" s="6"/>
      <c r="G173" s="13"/>
      <c r="H173" s="13"/>
      <c r="I173" s="14"/>
      <c r="J173" s="14"/>
      <c r="K173" s="12"/>
      <c r="L173" s="12"/>
    </row>
    <row r="174" spans="2:12" x14ac:dyDescent="0.2">
      <c r="B174" s="12"/>
      <c r="C174" s="6"/>
      <c r="D174" s="6"/>
      <c r="E174" s="12"/>
      <c r="F174" s="6"/>
      <c r="G174" s="13"/>
      <c r="H174" s="13"/>
      <c r="I174" s="14"/>
      <c r="J174" s="14"/>
      <c r="K174" s="12"/>
      <c r="L174" s="12"/>
    </row>
    <row r="175" spans="2:12" x14ac:dyDescent="0.2">
      <c r="B175" s="12"/>
      <c r="C175" s="6"/>
      <c r="D175" s="6"/>
      <c r="E175" s="12"/>
      <c r="F175" s="6"/>
      <c r="G175" s="13"/>
      <c r="H175" s="13"/>
      <c r="I175" s="14"/>
      <c r="J175" s="14"/>
      <c r="K175" s="12"/>
      <c r="L175" s="12"/>
    </row>
    <row r="176" spans="2:12" x14ac:dyDescent="0.2">
      <c r="B176" s="12"/>
      <c r="C176" s="6"/>
      <c r="D176" s="6"/>
      <c r="E176" s="12"/>
      <c r="F176" s="6"/>
      <c r="G176" s="13"/>
      <c r="H176" s="13"/>
      <c r="I176" s="14"/>
      <c r="J176" s="14"/>
      <c r="K176" s="12"/>
      <c r="L176" s="12"/>
    </row>
    <row r="177" spans="2:12" x14ac:dyDescent="0.2">
      <c r="B177" s="12"/>
      <c r="C177" s="6"/>
      <c r="D177" s="6"/>
      <c r="E177" s="12"/>
      <c r="F177" s="6"/>
      <c r="G177" s="13"/>
      <c r="H177" s="13"/>
      <c r="I177" s="14"/>
      <c r="J177" s="14"/>
      <c r="K177" s="12"/>
      <c r="L177" s="12"/>
    </row>
    <row r="178" spans="2:12" x14ac:dyDescent="0.2">
      <c r="B178" s="12"/>
      <c r="C178" s="6"/>
      <c r="D178" s="6"/>
      <c r="E178" s="12"/>
      <c r="F178" s="6"/>
      <c r="G178" s="13"/>
      <c r="H178" s="13"/>
      <c r="I178" s="14"/>
      <c r="J178" s="14"/>
      <c r="K178" s="12"/>
      <c r="L178" s="12"/>
    </row>
    <row r="179" spans="2:12" x14ac:dyDescent="0.2">
      <c r="B179" s="12"/>
      <c r="C179" s="6"/>
      <c r="D179" s="6"/>
      <c r="E179" s="12"/>
      <c r="F179" s="6"/>
      <c r="G179" s="13"/>
      <c r="H179" s="13"/>
      <c r="I179" s="14"/>
      <c r="J179" s="14"/>
      <c r="K179" s="12"/>
      <c r="L179" s="12"/>
    </row>
    <row r="180" spans="2:12" x14ac:dyDescent="0.2">
      <c r="B180" s="12"/>
      <c r="C180" s="6"/>
      <c r="D180" s="6"/>
      <c r="E180" s="12"/>
      <c r="F180" s="6"/>
      <c r="G180" s="13"/>
      <c r="H180" s="13"/>
      <c r="I180" s="14"/>
      <c r="J180" s="14"/>
      <c r="K180" s="12"/>
      <c r="L180" s="12"/>
    </row>
    <row r="181" spans="2:12" x14ac:dyDescent="0.2">
      <c r="B181" s="12"/>
      <c r="C181" s="6"/>
      <c r="D181" s="6"/>
      <c r="E181" s="12"/>
      <c r="F181" s="6"/>
      <c r="G181" s="13"/>
      <c r="H181" s="13"/>
      <c r="I181" s="14"/>
      <c r="J181" s="14"/>
      <c r="K181" s="12"/>
      <c r="L181" s="12"/>
    </row>
    <row r="182" spans="2:12" x14ac:dyDescent="0.2">
      <c r="B182" s="12"/>
      <c r="C182" s="6"/>
      <c r="D182" s="6"/>
      <c r="E182" s="12"/>
      <c r="F182" s="6"/>
      <c r="G182" s="13"/>
      <c r="H182" s="13"/>
      <c r="I182" s="14"/>
      <c r="J182" s="14"/>
      <c r="K182" s="12"/>
      <c r="L182" s="12"/>
    </row>
    <row r="183" spans="2:12" x14ac:dyDescent="0.2">
      <c r="B183" s="12"/>
      <c r="C183" s="6"/>
      <c r="D183" s="6"/>
      <c r="E183" s="12"/>
      <c r="F183" s="6"/>
      <c r="G183" s="13"/>
      <c r="H183" s="13"/>
      <c r="I183" s="14"/>
      <c r="J183" s="14"/>
      <c r="K183" s="12"/>
      <c r="L183" s="12"/>
    </row>
    <row r="184" spans="2:12" x14ac:dyDescent="0.2">
      <c r="B184" s="12"/>
      <c r="C184" s="6"/>
      <c r="D184" s="6"/>
      <c r="E184" s="12"/>
      <c r="F184" s="6"/>
      <c r="G184" s="13"/>
      <c r="H184" s="13"/>
      <c r="I184" s="14"/>
      <c r="J184" s="14"/>
      <c r="K184" s="12"/>
      <c r="L184" s="12"/>
    </row>
    <row r="185" spans="2:12" x14ac:dyDescent="0.2">
      <c r="B185" s="12"/>
      <c r="C185" s="6"/>
      <c r="D185" s="6"/>
      <c r="E185" s="12"/>
      <c r="F185" s="6"/>
      <c r="G185" s="13"/>
      <c r="H185" s="13"/>
      <c r="I185" s="14"/>
      <c r="J185" s="14"/>
      <c r="K185" s="12"/>
      <c r="L185" s="12"/>
    </row>
    <row r="186" spans="2:12" x14ac:dyDescent="0.2">
      <c r="B186" s="12"/>
      <c r="C186" s="6"/>
      <c r="D186" s="6"/>
      <c r="E186" s="12"/>
      <c r="F186" s="6"/>
      <c r="G186" s="13"/>
      <c r="H186" s="13"/>
      <c r="I186" s="14"/>
      <c r="J186" s="14"/>
      <c r="K186" s="12"/>
      <c r="L186" s="12"/>
    </row>
    <row r="187" spans="2:12" x14ac:dyDescent="0.2">
      <c r="B187" s="12"/>
      <c r="C187" s="6"/>
      <c r="D187" s="6"/>
      <c r="E187" s="12"/>
      <c r="F187" s="6"/>
      <c r="G187" s="13"/>
      <c r="H187" s="13"/>
      <c r="I187" s="14"/>
      <c r="J187" s="14"/>
      <c r="K187" s="12"/>
      <c r="L187" s="12"/>
    </row>
    <row r="188" spans="2:12" x14ac:dyDescent="0.2">
      <c r="B188" s="12"/>
      <c r="C188" s="6"/>
      <c r="D188" s="6"/>
      <c r="E188" s="12"/>
      <c r="F188" s="6"/>
      <c r="G188" s="13"/>
      <c r="H188" s="13"/>
      <c r="I188" s="14"/>
      <c r="J188" s="14"/>
      <c r="K188" s="12"/>
      <c r="L188" s="12"/>
    </row>
    <row r="189" spans="2:12" x14ac:dyDescent="0.2">
      <c r="B189" s="12"/>
      <c r="C189" s="6"/>
      <c r="D189" s="6"/>
      <c r="E189" s="12"/>
      <c r="F189" s="6"/>
      <c r="G189" s="13"/>
      <c r="H189" s="13"/>
      <c r="I189" s="14"/>
      <c r="J189" s="14"/>
      <c r="K189" s="12"/>
      <c r="L189" s="12"/>
    </row>
    <row r="190" spans="2:12" x14ac:dyDescent="0.2">
      <c r="B190" s="12"/>
      <c r="C190" s="6"/>
      <c r="D190" s="6"/>
      <c r="E190" s="12"/>
      <c r="F190" s="6"/>
      <c r="G190" s="13"/>
      <c r="H190" s="13"/>
      <c r="I190" s="14"/>
      <c r="J190" s="14"/>
      <c r="K190" s="12"/>
      <c r="L190" s="12"/>
    </row>
    <row r="191" spans="2:12" x14ac:dyDescent="0.2">
      <c r="B191" s="12"/>
      <c r="C191" s="6"/>
      <c r="D191" s="6"/>
      <c r="E191" s="12"/>
      <c r="F191" s="6"/>
      <c r="G191" s="13"/>
      <c r="H191" s="13"/>
      <c r="I191" s="14"/>
      <c r="J191" s="14"/>
      <c r="K191" s="12"/>
      <c r="L191" s="12"/>
    </row>
    <row r="192" spans="2:12" x14ac:dyDescent="0.2">
      <c r="B192" s="12"/>
      <c r="C192" s="6"/>
      <c r="D192" s="6"/>
      <c r="E192" s="12"/>
      <c r="F192" s="6"/>
      <c r="G192" s="13"/>
      <c r="H192" s="13"/>
      <c r="I192" s="14"/>
      <c r="J192" s="14"/>
      <c r="K192" s="12"/>
      <c r="L192" s="12"/>
    </row>
    <row r="193" spans="2:12" x14ac:dyDescent="0.2">
      <c r="B193" s="12"/>
      <c r="C193" s="6"/>
      <c r="D193" s="6"/>
      <c r="E193" s="12"/>
      <c r="F193" s="6"/>
      <c r="G193" s="13"/>
      <c r="H193" s="13"/>
      <c r="I193" s="14"/>
      <c r="J193" s="14"/>
      <c r="K193" s="12"/>
      <c r="L193" s="12"/>
    </row>
    <row r="194" spans="2:12" x14ac:dyDescent="0.2">
      <c r="B194" s="12"/>
      <c r="C194" s="6"/>
      <c r="D194" s="6"/>
      <c r="E194" s="12"/>
      <c r="F194" s="6"/>
      <c r="G194" s="13"/>
      <c r="H194" s="13"/>
      <c r="I194" s="14"/>
      <c r="J194" s="14"/>
      <c r="K194" s="12"/>
      <c r="L194" s="12"/>
    </row>
    <row r="195" spans="2:12" x14ac:dyDescent="0.2">
      <c r="B195" s="12"/>
      <c r="C195" s="6"/>
      <c r="D195" s="6"/>
      <c r="E195" s="12"/>
      <c r="F195" s="6"/>
      <c r="G195" s="13"/>
      <c r="H195" s="13"/>
      <c r="I195" s="14"/>
      <c r="J195" s="14"/>
      <c r="K195" s="12"/>
      <c r="L195" s="12"/>
    </row>
    <row r="196" spans="2:12" x14ac:dyDescent="0.2">
      <c r="B196" s="12"/>
      <c r="C196" s="6"/>
      <c r="D196" s="6"/>
      <c r="E196" s="12"/>
      <c r="F196" s="6"/>
      <c r="G196" s="13"/>
      <c r="H196" s="13"/>
      <c r="I196" s="14"/>
      <c r="J196" s="14"/>
      <c r="K196" s="12"/>
      <c r="L196" s="12"/>
    </row>
    <row r="197" spans="2:12" x14ac:dyDescent="0.2">
      <c r="B197" s="12"/>
      <c r="C197" s="6"/>
      <c r="D197" s="6"/>
      <c r="E197" s="12"/>
      <c r="F197" s="6"/>
      <c r="G197" s="13"/>
      <c r="H197" s="13"/>
      <c r="I197" s="14"/>
      <c r="J197" s="14"/>
      <c r="K197" s="12"/>
      <c r="L197" s="12"/>
    </row>
    <row r="198" spans="2:12" x14ac:dyDescent="0.2">
      <c r="B198" s="12"/>
      <c r="C198" s="6"/>
      <c r="D198" s="6"/>
      <c r="E198" s="12"/>
      <c r="F198" s="6"/>
      <c r="G198" s="13"/>
      <c r="H198" s="13"/>
      <c r="I198" s="14"/>
      <c r="J198" s="14"/>
      <c r="K198" s="12"/>
      <c r="L198" s="12"/>
    </row>
    <row r="199" spans="2:12" x14ac:dyDescent="0.2">
      <c r="B199" s="12"/>
      <c r="C199" s="6"/>
      <c r="D199" s="6"/>
      <c r="E199" s="12"/>
      <c r="F199" s="6"/>
      <c r="G199" s="13"/>
      <c r="H199" s="13"/>
      <c r="I199" s="14"/>
      <c r="J199" s="14"/>
      <c r="K199" s="12"/>
      <c r="L199" s="12"/>
    </row>
    <row r="200" spans="2:12" x14ac:dyDescent="0.2">
      <c r="B200" s="12"/>
      <c r="C200" s="6"/>
      <c r="D200" s="6"/>
      <c r="E200" s="12"/>
      <c r="F200" s="6"/>
      <c r="G200" s="13"/>
      <c r="H200" s="13"/>
      <c r="I200" s="14"/>
      <c r="J200" s="14"/>
      <c r="K200" s="12"/>
      <c r="L200" s="12"/>
    </row>
    <row r="201" spans="2:12" x14ac:dyDescent="0.2">
      <c r="B201" s="12"/>
      <c r="C201" s="6"/>
      <c r="D201" s="6"/>
      <c r="E201" s="12"/>
      <c r="F201" s="6"/>
      <c r="G201" s="13"/>
      <c r="H201" s="13"/>
      <c r="I201" s="14"/>
      <c r="J201" s="14"/>
      <c r="K201" s="12"/>
      <c r="L201" s="12"/>
    </row>
    <row r="202" spans="2:12" x14ac:dyDescent="0.2">
      <c r="B202" s="12"/>
      <c r="C202" s="6"/>
      <c r="D202" s="6"/>
      <c r="E202" s="12"/>
      <c r="F202" s="6"/>
      <c r="G202" s="13"/>
      <c r="H202" s="13"/>
      <c r="I202" s="14"/>
      <c r="J202" s="14"/>
      <c r="K202" s="12"/>
      <c r="L202" s="12"/>
    </row>
    <row r="203" spans="2:12" x14ac:dyDescent="0.2">
      <c r="B203" s="12"/>
      <c r="C203" s="6"/>
      <c r="D203" s="6"/>
      <c r="E203" s="12"/>
      <c r="F203" s="6"/>
      <c r="G203" s="13"/>
      <c r="H203" s="13"/>
      <c r="I203" s="14"/>
      <c r="J203" s="14"/>
      <c r="K203" s="12"/>
      <c r="L203" s="12"/>
    </row>
    <row r="204" spans="2:12" x14ac:dyDescent="0.2">
      <c r="B204" s="12"/>
      <c r="C204" s="6"/>
      <c r="D204" s="6"/>
      <c r="E204" s="12"/>
      <c r="F204" s="6"/>
      <c r="G204" s="13"/>
      <c r="H204" s="13"/>
      <c r="I204" s="14"/>
      <c r="J204" s="14"/>
      <c r="K204" s="12"/>
      <c r="L204" s="12"/>
    </row>
  </sheetData>
  <dataValidations count="1">
    <dataValidation type="list" allowBlank="1" showInputMessage="1" showErrorMessage="1" sqref="D5:D204" xr:uid="{AD40D033-44D5-47ED-B4BF-3DDE47C791D8}">
      <formula1>Categorii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6D72-DFE4-4A65-90AB-81709E8BAA4A}">
  <dimension ref="B1:H1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34.7109375" style="1" customWidth="1"/>
    <col min="3" max="3" width="26.7109375" style="1" customWidth="1"/>
    <col min="4" max="4" width="3.7109375" style="1" customWidth="1"/>
    <col min="5" max="5" width="24.7109375" style="1" customWidth="1"/>
    <col min="6" max="6" width="7.7109375" style="1" customWidth="1"/>
    <col min="7" max="7" width="3.7109375" style="1" customWidth="1"/>
    <col min="8" max="8" width="22.7109375" style="1" customWidth="1"/>
    <col min="9" max="16384" width="11.42578125" style="1"/>
  </cols>
  <sheetData>
    <row r="1" spans="2:8" ht="21" x14ac:dyDescent="0.35">
      <c r="B1" s="2" t="s">
        <v>0</v>
      </c>
    </row>
    <row r="2" spans="2:8" x14ac:dyDescent="0.2">
      <c r="B2" s="3" t="s">
        <v>1</v>
      </c>
    </row>
    <row r="4" spans="2:8" x14ac:dyDescent="0.2">
      <c r="B4" s="5" t="s">
        <v>2</v>
      </c>
      <c r="C4" s="7" t="s">
        <v>3</v>
      </c>
      <c r="E4" s="9" t="s">
        <v>9</v>
      </c>
      <c r="F4" s="9" t="s">
        <v>10</v>
      </c>
      <c r="H4" s="9" t="s">
        <v>19</v>
      </c>
    </row>
    <row r="5" spans="2:8" x14ac:dyDescent="0.2">
      <c r="B5" s="5" t="s">
        <v>4</v>
      </c>
      <c r="C5" s="7" t="s">
        <v>5</v>
      </c>
      <c r="E5" s="10" t="s">
        <v>11</v>
      </c>
      <c r="F5" s="11">
        <v>1</v>
      </c>
      <c r="H5" s="6" t="s">
        <v>20</v>
      </c>
    </row>
    <row r="6" spans="2:8" x14ac:dyDescent="0.2">
      <c r="B6" s="5" t="s">
        <v>6</v>
      </c>
      <c r="C6" s="8">
        <f ca="1">TODAY()</f>
        <v>46308</v>
      </c>
      <c r="E6" s="10" t="s">
        <v>12</v>
      </c>
      <c r="F6" s="11">
        <v>1</v>
      </c>
      <c r="H6" s="6" t="s">
        <v>21</v>
      </c>
    </row>
    <row r="7" spans="2:8" x14ac:dyDescent="0.2">
      <c r="B7" s="5" t="s">
        <v>7</v>
      </c>
      <c r="C7" s="7">
        <v>30</v>
      </c>
      <c r="E7" s="10" t="s">
        <v>13</v>
      </c>
      <c r="F7" s="11">
        <v>1</v>
      </c>
      <c r="H7" s="6" t="s">
        <v>22</v>
      </c>
    </row>
    <row r="8" spans="2:8" x14ac:dyDescent="0.2">
      <c r="B8" s="5" t="s">
        <v>8</v>
      </c>
      <c r="C8" s="7">
        <v>90</v>
      </c>
      <c r="E8" s="10" t="s">
        <v>14</v>
      </c>
      <c r="F8" s="11">
        <v>1</v>
      </c>
      <c r="H8" s="6" t="s">
        <v>23</v>
      </c>
    </row>
    <row r="9" spans="2:8" x14ac:dyDescent="0.2">
      <c r="E9" s="10" t="s">
        <v>15</v>
      </c>
      <c r="F9" s="11">
        <v>-1</v>
      </c>
      <c r="H9" s="6" t="s">
        <v>24</v>
      </c>
    </row>
    <row r="10" spans="2:8" x14ac:dyDescent="0.2">
      <c r="E10" s="10" t="s">
        <v>16</v>
      </c>
      <c r="F10" s="11">
        <v>-1</v>
      </c>
      <c r="H10" s="6" t="s">
        <v>25</v>
      </c>
    </row>
    <row r="11" spans="2:8" x14ac:dyDescent="0.2">
      <c r="E11" s="10" t="s">
        <v>17</v>
      </c>
      <c r="F11" s="11">
        <v>-1</v>
      </c>
      <c r="H11" s="6"/>
    </row>
    <row r="12" spans="2:8" x14ac:dyDescent="0.2">
      <c r="E12" s="10" t="s">
        <v>18</v>
      </c>
      <c r="F12" s="11">
        <v>-1</v>
      </c>
      <c r="H12" s="6"/>
    </row>
    <row r="13" spans="2:8" x14ac:dyDescent="0.2">
      <c r="H13" s="6"/>
    </row>
    <row r="14" spans="2:8" x14ac:dyDescent="0.2">
      <c r="H14" s="6"/>
    </row>
    <row r="16" spans="2:8" x14ac:dyDescent="0.2">
      <c r="B16" s="36" t="s">
        <v>306</v>
      </c>
    </row>
    <row r="17" spans="2:2" x14ac:dyDescent="0.2">
      <c r="B17" s="37" t="s">
        <v>307</v>
      </c>
    </row>
    <row r="18" spans="2:2" x14ac:dyDescent="0.2">
      <c r="B18" s="38" t="s">
        <v>308</v>
      </c>
    </row>
  </sheetData>
  <hyperlinks>
    <hyperlink ref="B18" r:id="rId1" tooltip="Instrucțiuni și alte modele gratuite" xr:uid="{AA2250FE-0BAB-4553-BC89-75E8D4A8B22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10</vt:i4>
      </vt:variant>
    </vt:vector>
  </HeadingPairs>
  <TitlesOfParts>
    <vt:vector size="17" baseType="lpstr">
      <vt:lpstr>Panou</vt:lpstr>
      <vt:lpstr>Stocuri</vt:lpstr>
      <vt:lpstr>Mișcări</vt:lpstr>
      <vt:lpstr>Comandă furnizori</vt:lpstr>
      <vt:lpstr>Inventar rapid</vt:lpstr>
      <vt:lpstr>Produse</vt:lpstr>
      <vt:lpstr>Setări</vt:lpstr>
      <vt:lpstr>Azi</vt:lpstr>
      <vt:lpstr>Catalog</vt:lpstr>
      <vt:lpstr>Categorii</vt:lpstr>
      <vt:lpstr>Coduri</vt:lpstr>
      <vt:lpstr>Firma</vt:lpstr>
      <vt:lpstr>Gestiunea</vt:lpstr>
      <vt:lpstr>TipSemn</vt:lpstr>
      <vt:lpstr>Tipuri</vt:lpstr>
      <vt:lpstr>ZileConsum</vt:lpstr>
      <vt:lpstr>ZileMort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 gestiune stocuri Excel</dc:title>
  <dc:subject>Model Excel gratuit în limba română</dc:subject>
  <dc:creator>Ray Moreno · modelexcel.ro</dc:creator>
  <cp:keywords>modelexcel.ro, model Excel, Program gestiune stocuri Excel</cp:keywords>
  <dc:description>© 2026 Ray Moreno – modelexcel.ro. Model gratuit: îl poți folosi și adapta în activitatea ta. Nu este permisă revânzarea lui sau publicarea pe alte site-uri. https://modelexcel.ro/program-gestiune-stocuri-excel/</dc:description>
  <cp:lastModifiedBy>Ray Moreno · modelexcel.ro</cp:lastModifiedBy>
  <dcterms:created xsi:type="dcterms:W3CDTF">2026-10-13T17:15:36Z</dcterms:created>
  <dcterms:modified xsi:type="dcterms:W3CDTF">2026-10-13T17:32:19Z</dcterms:modified>
  <cp:category>Model Excel</cp:category>
</cp:coreProperties>
</file>