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C8EA256A-6600-44EF-BDB7-609EDB69A68E}" xr6:coauthVersionLast="47" xr6:coauthVersionMax="47" xr10:uidLastSave="{00000000-0000-0000-0000-000000000000}"/>
  <bookViews>
    <workbookView xWindow="-28920" yWindow="-120" windowWidth="29040" windowHeight="15720" xr2:uid="{B2D377EE-BC88-4EA8-B093-0B84C19B21C5}"/>
  </bookViews>
  <sheets>
    <sheet name="Registru mijloace fixe" sheetId="1" r:id="rId1"/>
    <sheet name="Fișa mijlocului fix" sheetId="2" r:id="rId2"/>
    <sheet name="Amortizare lunară" sheetId="3" r:id="rId3"/>
    <sheet name="Inventar" sheetId="4" r:id="rId4"/>
    <sheet name="Setări" sheetId="5" r:id="rId5"/>
    <sheet name="Calcul" sheetId="6" r:id="rId6"/>
  </sheets>
  <definedNames>
    <definedName name="AnCalc">Setări!$C$6</definedName>
    <definedName name="_xlnm.Print_Area" localSheetId="1">'Fișa mijlocului fix'!$A$3:$H$66</definedName>
    <definedName name="CIF">Setări!$C$5</definedName>
    <definedName name="DataInv">Setări!$C$9</definedName>
    <definedName name="Firma">Setări!$C$4</definedName>
    <definedName name="Grupe">Setări!$B$13:$B$22</definedName>
    <definedName name="ListaDaNu">Setări!$L$5:$L$6</definedName>
    <definedName name="ListaIesire">Setări!$J$5:$J$8</definedName>
    <definedName name="ListaMetode">Setări!$I$5:$I$8</definedName>
    <definedName name="ListaStare">Setări!$K$5:$K$8</definedName>
    <definedName name="LunaCalc">Setări!$C$7</definedName>
    <definedName name="LunaRef">Setări!$C$10</definedName>
    <definedName name="PlafonMF">Setări!$C$8</definedName>
    <definedName name="RandF">'Fișa mijlocului fix'!$N$1</definedName>
    <definedName name="TabelGrupe">Setări!$B$13:$G$22</definedName>
    <definedName name="_xlnm.Print_Titles" localSheetId="3">Inventar!$5:$5</definedName>
    <definedName name="_xlnm.Print_Titles" localSheetId="0">'Registru mijloace fixe'!$4:$4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5" i="4" l="1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B3" i="4"/>
  <c r="B3" i="3"/>
  <c r="B3" i="2"/>
  <c r="N1" i="2"/>
  <c r="AJ6" i="6"/>
  <c r="AJ7" i="6"/>
  <c r="AJ8" i="6"/>
  <c r="AJ9" i="6"/>
  <c r="AJ10" i="6"/>
  <c r="AJ11" i="6"/>
  <c r="AJ12" i="6"/>
  <c r="AJ13" i="6"/>
  <c r="AJ14" i="6"/>
  <c r="AJ15" i="6"/>
  <c r="AJ16" i="6"/>
  <c r="AJ17" i="6"/>
  <c r="AJ18" i="6"/>
  <c r="AJ19" i="6"/>
  <c r="AJ20" i="6"/>
  <c r="AJ21" i="6"/>
  <c r="AJ22" i="6"/>
  <c r="AJ23" i="6"/>
  <c r="AJ24" i="6"/>
  <c r="AJ25" i="6"/>
  <c r="AJ26" i="6"/>
  <c r="AJ27" i="6"/>
  <c r="AJ28" i="6"/>
  <c r="AJ29" i="6"/>
  <c r="AJ30" i="6"/>
  <c r="AJ31" i="6"/>
  <c r="AJ32" i="6"/>
  <c r="AJ33" i="6"/>
  <c r="AJ34" i="6"/>
  <c r="AJ35" i="6"/>
  <c r="AJ36" i="6"/>
  <c r="AJ37" i="6"/>
  <c r="AJ38" i="6"/>
  <c r="AJ39" i="6"/>
  <c r="AJ40" i="6"/>
  <c r="AJ41" i="6"/>
  <c r="AJ42" i="6"/>
  <c r="AJ43" i="6"/>
  <c r="AJ44" i="6"/>
  <c r="AJ45" i="6"/>
  <c r="AJ46" i="6"/>
  <c r="AJ47" i="6"/>
  <c r="AJ48" i="6"/>
  <c r="AJ49" i="6"/>
  <c r="AJ50" i="6"/>
  <c r="AJ51" i="6"/>
  <c r="AJ52" i="6"/>
  <c r="AJ53" i="6"/>
  <c r="AJ54" i="6"/>
  <c r="AJ55" i="6"/>
  <c r="AJ56" i="6"/>
  <c r="AJ57" i="6"/>
  <c r="AJ58" i="6"/>
  <c r="AJ59" i="6"/>
  <c r="AJ60" i="6"/>
  <c r="AJ61" i="6"/>
  <c r="AJ62" i="6"/>
  <c r="AJ63" i="6"/>
  <c r="AJ64" i="6"/>
  <c r="AJ65" i="6"/>
  <c r="AJ66" i="6"/>
  <c r="AJ67" i="6"/>
  <c r="AJ68" i="6"/>
  <c r="AJ69" i="6"/>
  <c r="AJ70" i="6"/>
  <c r="AJ71" i="6"/>
  <c r="AJ72" i="6"/>
  <c r="AJ73" i="6"/>
  <c r="AJ74" i="6"/>
  <c r="AJ75" i="6"/>
  <c r="AJ76" i="6"/>
  <c r="AJ77" i="6"/>
  <c r="AJ78" i="6"/>
  <c r="AJ79" i="6"/>
  <c r="AJ80" i="6"/>
  <c r="AJ81" i="6"/>
  <c r="AJ82" i="6"/>
  <c r="AJ83" i="6"/>
  <c r="AJ84" i="6"/>
  <c r="AJ85" i="6"/>
  <c r="AJ86" i="6"/>
  <c r="AJ87" i="6"/>
  <c r="AJ88" i="6"/>
  <c r="AJ89" i="6"/>
  <c r="AJ90" i="6"/>
  <c r="AJ91" i="6"/>
  <c r="AJ92" i="6"/>
  <c r="AJ93" i="6"/>
  <c r="AJ94" i="6"/>
  <c r="AJ95" i="6"/>
  <c r="AJ96" i="6"/>
  <c r="AJ97" i="6"/>
  <c r="AJ98" i="6"/>
  <c r="AJ99" i="6"/>
  <c r="AJ100" i="6"/>
  <c r="AJ101" i="6"/>
  <c r="AJ102" i="6"/>
  <c r="AJ103" i="6"/>
  <c r="AJ104" i="6"/>
  <c r="AI6" i="6"/>
  <c r="AI7" i="6"/>
  <c r="AI8" i="6"/>
  <c r="AI9" i="6"/>
  <c r="AI10" i="6"/>
  <c r="AI11" i="6"/>
  <c r="AI12" i="6"/>
  <c r="AI13" i="6"/>
  <c r="AI14" i="6"/>
  <c r="AI15" i="6"/>
  <c r="AI16" i="6"/>
  <c r="AI17" i="6"/>
  <c r="AI18" i="6"/>
  <c r="AI19" i="6"/>
  <c r="AI20" i="6"/>
  <c r="AI21" i="6"/>
  <c r="AI22" i="6"/>
  <c r="AI23" i="6"/>
  <c r="AI24" i="6"/>
  <c r="AI25" i="6"/>
  <c r="AI26" i="6"/>
  <c r="AI27" i="6"/>
  <c r="AI28" i="6"/>
  <c r="AI29" i="6"/>
  <c r="AI30" i="6"/>
  <c r="AI31" i="6"/>
  <c r="AI32" i="6"/>
  <c r="AI33" i="6"/>
  <c r="AI34" i="6"/>
  <c r="AI35" i="6"/>
  <c r="AI36" i="6"/>
  <c r="AI37" i="6"/>
  <c r="AI38" i="6"/>
  <c r="AI39" i="6"/>
  <c r="AI40" i="6"/>
  <c r="AI41" i="6"/>
  <c r="AI42" i="6"/>
  <c r="AI43" i="6"/>
  <c r="AI44" i="6"/>
  <c r="AI45" i="6"/>
  <c r="AI46" i="6"/>
  <c r="AI47" i="6"/>
  <c r="AI48" i="6"/>
  <c r="AI49" i="6"/>
  <c r="AI50" i="6"/>
  <c r="AI51" i="6"/>
  <c r="AI52" i="6"/>
  <c r="AI53" i="6"/>
  <c r="AI54" i="6"/>
  <c r="AI55" i="6"/>
  <c r="AI56" i="6"/>
  <c r="AI57" i="6"/>
  <c r="AI58" i="6"/>
  <c r="AI59" i="6"/>
  <c r="Q6" i="6"/>
  <c r="Q7" i="6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69" i="6"/>
  <c r="Q70" i="6"/>
  <c r="Q71" i="6"/>
  <c r="Q72" i="6"/>
  <c r="Q73" i="6"/>
  <c r="Q74" i="6"/>
  <c r="Q75" i="6"/>
  <c r="Q76" i="6"/>
  <c r="Q77" i="6"/>
  <c r="Q78" i="6"/>
  <c r="Q79" i="6"/>
  <c r="Q80" i="6"/>
  <c r="Q81" i="6"/>
  <c r="Q82" i="6"/>
  <c r="Q83" i="6"/>
  <c r="Q84" i="6"/>
  <c r="Q85" i="6"/>
  <c r="Q86" i="6"/>
  <c r="Q87" i="6"/>
  <c r="Q88" i="6"/>
  <c r="Q89" i="6"/>
  <c r="Q90" i="6"/>
  <c r="Q91" i="6"/>
  <c r="Q92" i="6"/>
  <c r="Q93" i="6"/>
  <c r="Q94" i="6"/>
  <c r="Q95" i="6"/>
  <c r="Q96" i="6"/>
  <c r="Q97" i="6"/>
  <c r="Q98" i="6"/>
  <c r="Q99" i="6"/>
  <c r="Q100" i="6"/>
  <c r="Q101" i="6"/>
  <c r="Q102" i="6"/>
  <c r="Q103" i="6"/>
  <c r="Q104" i="6"/>
  <c r="P6" i="6"/>
  <c r="P7" i="6"/>
  <c r="P8" i="6"/>
  <c r="P9" i="6"/>
  <c r="P10" i="6"/>
  <c r="P11" i="6"/>
  <c r="P12" i="6"/>
  <c r="P13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104" i="6"/>
  <c r="O6" i="6"/>
  <c r="O7" i="6"/>
  <c r="O8" i="6"/>
  <c r="O9" i="6"/>
  <c r="O11" i="6"/>
  <c r="O12" i="6"/>
  <c r="O13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N7" i="6"/>
  <c r="N8" i="6"/>
  <c r="N9" i="6"/>
  <c r="N11" i="6"/>
  <c r="N12" i="6"/>
  <c r="N13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M7" i="6"/>
  <c r="M8" i="6"/>
  <c r="M9" i="6"/>
  <c r="M11" i="6"/>
  <c r="M12" i="6"/>
  <c r="M13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D5" i="6"/>
  <c r="F5" i="6" s="1"/>
  <c r="D6" i="6"/>
  <c r="F6" i="6" s="1"/>
  <c r="D7" i="6"/>
  <c r="F7" i="6" s="1"/>
  <c r="D8" i="6"/>
  <c r="F8" i="6" s="1"/>
  <c r="D9" i="6"/>
  <c r="F9" i="6" s="1"/>
  <c r="D10" i="6"/>
  <c r="F10" i="6" s="1"/>
  <c r="D11" i="6"/>
  <c r="F11" i="6" s="1"/>
  <c r="D12" i="6"/>
  <c r="F12" i="6" s="1"/>
  <c r="D13" i="6"/>
  <c r="F13" i="6" s="1"/>
  <c r="D14" i="6"/>
  <c r="F14" i="6" s="1"/>
  <c r="D15" i="6"/>
  <c r="F15" i="6" s="1"/>
  <c r="D16" i="6"/>
  <c r="F16" i="6" s="1"/>
  <c r="D17" i="6"/>
  <c r="F17" i="6" s="1"/>
  <c r="D18" i="6"/>
  <c r="F18" i="6" s="1"/>
  <c r="D19" i="6"/>
  <c r="F19" i="6" s="1"/>
  <c r="D20" i="6"/>
  <c r="F20" i="6" s="1"/>
  <c r="D21" i="6"/>
  <c r="F21" i="6" s="1"/>
  <c r="D22" i="6"/>
  <c r="F22" i="6" s="1"/>
  <c r="D23" i="6"/>
  <c r="F23" i="6" s="1"/>
  <c r="D24" i="6"/>
  <c r="F24" i="6" s="1"/>
  <c r="D25" i="6"/>
  <c r="F25" i="6" s="1"/>
  <c r="D26" i="6"/>
  <c r="F26" i="6" s="1"/>
  <c r="D27" i="6"/>
  <c r="F27" i="6" s="1"/>
  <c r="D28" i="6"/>
  <c r="F28" i="6" s="1"/>
  <c r="D29" i="6"/>
  <c r="F29" i="6" s="1"/>
  <c r="D30" i="6"/>
  <c r="F30" i="6" s="1"/>
  <c r="D31" i="6"/>
  <c r="F31" i="6" s="1"/>
  <c r="D32" i="6"/>
  <c r="F32" i="6" s="1"/>
  <c r="D33" i="6"/>
  <c r="F33" i="6" s="1"/>
  <c r="D34" i="6"/>
  <c r="F34" i="6" s="1"/>
  <c r="D35" i="6"/>
  <c r="F35" i="6" s="1"/>
  <c r="D36" i="6"/>
  <c r="F36" i="6" s="1"/>
  <c r="D37" i="6"/>
  <c r="F37" i="6" s="1"/>
  <c r="D38" i="6"/>
  <c r="F38" i="6" s="1"/>
  <c r="D39" i="6"/>
  <c r="F39" i="6" s="1"/>
  <c r="D40" i="6"/>
  <c r="F40" i="6" s="1"/>
  <c r="D41" i="6"/>
  <c r="F41" i="6" s="1"/>
  <c r="D42" i="6"/>
  <c r="F42" i="6" s="1"/>
  <c r="D43" i="6"/>
  <c r="F43" i="6" s="1"/>
  <c r="D44" i="6"/>
  <c r="F44" i="6" s="1"/>
  <c r="D45" i="6"/>
  <c r="F45" i="6" s="1"/>
  <c r="D46" i="6"/>
  <c r="F46" i="6" s="1"/>
  <c r="D47" i="6"/>
  <c r="F47" i="6" s="1"/>
  <c r="D48" i="6"/>
  <c r="F48" i="6" s="1"/>
  <c r="D49" i="6"/>
  <c r="F49" i="6" s="1"/>
  <c r="D50" i="6"/>
  <c r="F50" i="6" s="1"/>
  <c r="D51" i="6"/>
  <c r="F51" i="6" s="1"/>
  <c r="D52" i="6"/>
  <c r="F52" i="6" s="1"/>
  <c r="D53" i="6"/>
  <c r="F53" i="6" s="1"/>
  <c r="D54" i="6"/>
  <c r="F54" i="6" s="1"/>
  <c r="D55" i="6"/>
  <c r="F55" i="6" s="1"/>
  <c r="D56" i="6"/>
  <c r="F56" i="6" s="1"/>
  <c r="D57" i="6"/>
  <c r="F57" i="6" s="1"/>
  <c r="D58" i="6"/>
  <c r="F58" i="6" s="1"/>
  <c r="D59" i="6"/>
  <c r="F59" i="6" s="1"/>
  <c r="D60" i="6"/>
  <c r="F60" i="6" s="1"/>
  <c r="D61" i="6"/>
  <c r="F61" i="6" s="1"/>
  <c r="D62" i="6"/>
  <c r="F62" i="6" s="1"/>
  <c r="D63" i="6"/>
  <c r="F63" i="6" s="1"/>
  <c r="D64" i="6"/>
  <c r="F64" i="6" s="1"/>
  <c r="D65" i="6"/>
  <c r="F65" i="6" s="1"/>
  <c r="D66" i="6"/>
  <c r="F66" i="6" s="1"/>
  <c r="D67" i="6"/>
  <c r="F67" i="6" s="1"/>
  <c r="D68" i="6"/>
  <c r="F68" i="6" s="1"/>
  <c r="D69" i="6"/>
  <c r="F69" i="6" s="1"/>
  <c r="D70" i="6"/>
  <c r="F70" i="6" s="1"/>
  <c r="D71" i="6"/>
  <c r="F71" i="6" s="1"/>
  <c r="D72" i="6"/>
  <c r="F72" i="6" s="1"/>
  <c r="D73" i="6"/>
  <c r="F73" i="6" s="1"/>
  <c r="D74" i="6"/>
  <c r="F74" i="6" s="1"/>
  <c r="D75" i="6"/>
  <c r="F75" i="6" s="1"/>
  <c r="D76" i="6"/>
  <c r="F76" i="6" s="1"/>
  <c r="D77" i="6"/>
  <c r="F77" i="6" s="1"/>
  <c r="D78" i="6"/>
  <c r="F78" i="6" s="1"/>
  <c r="D79" i="6"/>
  <c r="F79" i="6" s="1"/>
  <c r="D80" i="6"/>
  <c r="F80" i="6" s="1"/>
  <c r="D81" i="6"/>
  <c r="F81" i="6" s="1"/>
  <c r="D82" i="6"/>
  <c r="F82" i="6" s="1"/>
  <c r="D83" i="6"/>
  <c r="F83" i="6" s="1"/>
  <c r="D84" i="6"/>
  <c r="F84" i="6" s="1"/>
  <c r="D85" i="6"/>
  <c r="F85" i="6" s="1"/>
  <c r="D86" i="6"/>
  <c r="F86" i="6" s="1"/>
  <c r="D87" i="6"/>
  <c r="F87" i="6" s="1"/>
  <c r="D88" i="6"/>
  <c r="F88" i="6" s="1"/>
  <c r="D89" i="6"/>
  <c r="F89" i="6" s="1"/>
  <c r="D90" i="6"/>
  <c r="F90" i="6" s="1"/>
  <c r="D91" i="6"/>
  <c r="F91" i="6" s="1"/>
  <c r="D92" i="6"/>
  <c r="F92" i="6" s="1"/>
  <c r="D93" i="6"/>
  <c r="F93" i="6" s="1"/>
  <c r="D94" i="6"/>
  <c r="F94" i="6" s="1"/>
  <c r="D95" i="6"/>
  <c r="F95" i="6" s="1"/>
  <c r="D96" i="6"/>
  <c r="F96" i="6" s="1"/>
  <c r="D97" i="6"/>
  <c r="F97" i="6" s="1"/>
  <c r="D98" i="6"/>
  <c r="F98" i="6" s="1"/>
  <c r="D99" i="6"/>
  <c r="F99" i="6" s="1"/>
  <c r="D100" i="6"/>
  <c r="F100" i="6" s="1"/>
  <c r="D101" i="6"/>
  <c r="F101" i="6" s="1"/>
  <c r="D102" i="6"/>
  <c r="F102" i="6" s="1"/>
  <c r="D103" i="6"/>
  <c r="F103" i="6" s="1"/>
  <c r="D104" i="6"/>
  <c r="F104" i="6" s="1"/>
  <c r="C5" i="6"/>
  <c r="E5" i="6" s="1"/>
  <c r="C6" i="6"/>
  <c r="E6" i="6" s="1"/>
  <c r="C7" i="6"/>
  <c r="E7" i="6" s="1"/>
  <c r="C8" i="6"/>
  <c r="E8" i="6" s="1"/>
  <c r="C9" i="6"/>
  <c r="E9" i="6" s="1"/>
  <c r="C10" i="6"/>
  <c r="E10" i="6" s="1"/>
  <c r="C11" i="6"/>
  <c r="E11" i="6" s="1"/>
  <c r="C12" i="6"/>
  <c r="E12" i="6" s="1"/>
  <c r="C13" i="6"/>
  <c r="E13" i="6" s="1"/>
  <c r="C14" i="6"/>
  <c r="E14" i="6" s="1"/>
  <c r="C15" i="6"/>
  <c r="E15" i="6" s="1"/>
  <c r="C16" i="6"/>
  <c r="E16" i="6" s="1"/>
  <c r="C17" i="6"/>
  <c r="E17" i="6" s="1"/>
  <c r="C18" i="6"/>
  <c r="E18" i="6" s="1"/>
  <c r="C19" i="6"/>
  <c r="E19" i="6" s="1"/>
  <c r="C20" i="6"/>
  <c r="E20" i="6" s="1"/>
  <c r="C21" i="6"/>
  <c r="E21" i="6" s="1"/>
  <c r="C22" i="6"/>
  <c r="E22" i="6" s="1"/>
  <c r="C23" i="6"/>
  <c r="E23" i="6" s="1"/>
  <c r="C24" i="6"/>
  <c r="E24" i="6" s="1"/>
  <c r="C25" i="6"/>
  <c r="E25" i="6" s="1"/>
  <c r="C26" i="6"/>
  <c r="E26" i="6" s="1"/>
  <c r="C27" i="6"/>
  <c r="E27" i="6" s="1"/>
  <c r="C28" i="6"/>
  <c r="E28" i="6" s="1"/>
  <c r="C29" i="6"/>
  <c r="E29" i="6" s="1"/>
  <c r="C30" i="6"/>
  <c r="E30" i="6" s="1"/>
  <c r="C31" i="6"/>
  <c r="E31" i="6" s="1"/>
  <c r="C32" i="6"/>
  <c r="E32" i="6" s="1"/>
  <c r="C33" i="6"/>
  <c r="E33" i="6" s="1"/>
  <c r="C34" i="6"/>
  <c r="E34" i="6" s="1"/>
  <c r="C35" i="6"/>
  <c r="E35" i="6" s="1"/>
  <c r="C36" i="6"/>
  <c r="E36" i="6" s="1"/>
  <c r="C37" i="6"/>
  <c r="E37" i="6" s="1"/>
  <c r="C38" i="6"/>
  <c r="E38" i="6" s="1"/>
  <c r="C39" i="6"/>
  <c r="E39" i="6" s="1"/>
  <c r="C40" i="6"/>
  <c r="E40" i="6" s="1"/>
  <c r="C41" i="6"/>
  <c r="E41" i="6" s="1"/>
  <c r="C42" i="6"/>
  <c r="E42" i="6" s="1"/>
  <c r="C43" i="6"/>
  <c r="E43" i="6" s="1"/>
  <c r="C44" i="6"/>
  <c r="E44" i="6" s="1"/>
  <c r="C45" i="6"/>
  <c r="E45" i="6" s="1"/>
  <c r="C46" i="6"/>
  <c r="E46" i="6" s="1"/>
  <c r="C47" i="6"/>
  <c r="E47" i="6" s="1"/>
  <c r="C48" i="6"/>
  <c r="E48" i="6" s="1"/>
  <c r="C49" i="6"/>
  <c r="E49" i="6" s="1"/>
  <c r="C50" i="6"/>
  <c r="E50" i="6" s="1"/>
  <c r="C51" i="6"/>
  <c r="E51" i="6" s="1"/>
  <c r="C52" i="6"/>
  <c r="E52" i="6" s="1"/>
  <c r="C53" i="6"/>
  <c r="E53" i="6" s="1"/>
  <c r="C54" i="6"/>
  <c r="E54" i="6" s="1"/>
  <c r="C55" i="6"/>
  <c r="E55" i="6" s="1"/>
  <c r="C56" i="6"/>
  <c r="E56" i="6" s="1"/>
  <c r="C57" i="6"/>
  <c r="E57" i="6" s="1"/>
  <c r="C58" i="6"/>
  <c r="E58" i="6" s="1"/>
  <c r="C59" i="6"/>
  <c r="E59" i="6" s="1"/>
  <c r="C60" i="6"/>
  <c r="E60" i="6" s="1"/>
  <c r="C61" i="6"/>
  <c r="E61" i="6" s="1"/>
  <c r="C62" i="6"/>
  <c r="E62" i="6" s="1"/>
  <c r="C63" i="6"/>
  <c r="E63" i="6" s="1"/>
  <c r="C64" i="6"/>
  <c r="E64" i="6" s="1"/>
  <c r="C65" i="6"/>
  <c r="E65" i="6" s="1"/>
  <c r="C66" i="6"/>
  <c r="E66" i="6" s="1"/>
  <c r="C67" i="6"/>
  <c r="E67" i="6" s="1"/>
  <c r="C68" i="6"/>
  <c r="E68" i="6" s="1"/>
  <c r="C69" i="6"/>
  <c r="E69" i="6" s="1"/>
  <c r="C70" i="6"/>
  <c r="E70" i="6" s="1"/>
  <c r="C71" i="6"/>
  <c r="E71" i="6" s="1"/>
  <c r="C72" i="6"/>
  <c r="E72" i="6" s="1"/>
  <c r="C73" i="6"/>
  <c r="E73" i="6" s="1"/>
  <c r="C74" i="6"/>
  <c r="E74" i="6" s="1"/>
  <c r="C75" i="6"/>
  <c r="E75" i="6" s="1"/>
  <c r="C76" i="6"/>
  <c r="E76" i="6" s="1"/>
  <c r="C77" i="6"/>
  <c r="E77" i="6" s="1"/>
  <c r="C78" i="6"/>
  <c r="E78" i="6" s="1"/>
  <c r="C79" i="6"/>
  <c r="E79" i="6" s="1"/>
  <c r="C80" i="6"/>
  <c r="E80" i="6" s="1"/>
  <c r="C81" i="6"/>
  <c r="E81" i="6" s="1"/>
  <c r="C82" i="6"/>
  <c r="E82" i="6" s="1"/>
  <c r="C83" i="6"/>
  <c r="E83" i="6" s="1"/>
  <c r="C84" i="6"/>
  <c r="E84" i="6" s="1"/>
  <c r="C85" i="6"/>
  <c r="E85" i="6" s="1"/>
  <c r="C86" i="6"/>
  <c r="E86" i="6" s="1"/>
  <c r="C87" i="6"/>
  <c r="E87" i="6" s="1"/>
  <c r="C88" i="6"/>
  <c r="E88" i="6" s="1"/>
  <c r="C89" i="6"/>
  <c r="E89" i="6" s="1"/>
  <c r="C90" i="6"/>
  <c r="E90" i="6" s="1"/>
  <c r="C91" i="6"/>
  <c r="E91" i="6" s="1"/>
  <c r="C92" i="6"/>
  <c r="E92" i="6" s="1"/>
  <c r="C93" i="6"/>
  <c r="E93" i="6" s="1"/>
  <c r="C94" i="6"/>
  <c r="E94" i="6" s="1"/>
  <c r="C95" i="6"/>
  <c r="E95" i="6" s="1"/>
  <c r="C96" i="6"/>
  <c r="E96" i="6" s="1"/>
  <c r="C97" i="6"/>
  <c r="E97" i="6" s="1"/>
  <c r="C98" i="6"/>
  <c r="E98" i="6" s="1"/>
  <c r="C99" i="6"/>
  <c r="E99" i="6" s="1"/>
  <c r="C100" i="6"/>
  <c r="E100" i="6" s="1"/>
  <c r="C101" i="6"/>
  <c r="E101" i="6" s="1"/>
  <c r="C102" i="6"/>
  <c r="E102" i="6" s="1"/>
  <c r="C103" i="6"/>
  <c r="E103" i="6" s="1"/>
  <c r="C104" i="6"/>
  <c r="E104" i="6" s="1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H14" i="1"/>
  <c r="G14" i="1"/>
  <c r="H13" i="1"/>
  <c r="G13" i="1"/>
  <c r="N12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  <c r="H5" i="1"/>
  <c r="G5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B3" i="1"/>
  <c r="C10" i="5"/>
  <c r="C9" i="5"/>
  <c r="H25" i="4" l="1"/>
  <c r="K25" i="4"/>
  <c r="C25" i="4"/>
  <c r="B25" i="4"/>
  <c r="D25" i="4"/>
  <c r="E25" i="4"/>
  <c r="F25" i="4"/>
  <c r="G25" i="4"/>
  <c r="J25" i="4"/>
  <c r="I25" i="4"/>
  <c r="I24" i="4"/>
  <c r="F24" i="4"/>
  <c r="D24" i="4"/>
  <c r="B24" i="4"/>
  <c r="E24" i="4"/>
  <c r="H24" i="4"/>
  <c r="K24" i="4"/>
  <c r="G24" i="4"/>
  <c r="C24" i="4"/>
  <c r="J24" i="4"/>
  <c r="D23" i="4"/>
  <c r="K23" i="4"/>
  <c r="F23" i="4"/>
  <c r="J23" i="4"/>
  <c r="B23" i="4"/>
  <c r="H23" i="4"/>
  <c r="C23" i="4"/>
  <c r="G23" i="4"/>
  <c r="I23" i="4"/>
  <c r="E23" i="4"/>
  <c r="J22" i="4"/>
  <c r="G22" i="4"/>
  <c r="I22" i="4"/>
  <c r="B22" i="4"/>
  <c r="C22" i="4"/>
  <c r="F22" i="4"/>
  <c r="D22" i="4"/>
  <c r="E22" i="4"/>
  <c r="H22" i="4"/>
  <c r="K22" i="4"/>
  <c r="C21" i="4"/>
  <c r="B21" i="4"/>
  <c r="H21" i="4"/>
  <c r="J21" i="4"/>
  <c r="G21" i="4"/>
  <c r="D21" i="4"/>
  <c r="E21" i="4"/>
  <c r="K21" i="4"/>
  <c r="I21" i="4"/>
  <c r="F21" i="4"/>
  <c r="K20" i="4"/>
  <c r="D20" i="4"/>
  <c r="G20" i="4"/>
  <c r="F20" i="4"/>
  <c r="E20" i="4"/>
  <c r="C20" i="4"/>
  <c r="I20" i="4"/>
  <c r="B20" i="4"/>
  <c r="H20" i="4"/>
  <c r="J20" i="4"/>
  <c r="F19" i="4"/>
  <c r="K19" i="4"/>
  <c r="C19" i="4"/>
  <c r="D19" i="4"/>
  <c r="E19" i="4"/>
  <c r="G19" i="4"/>
  <c r="B19" i="4"/>
  <c r="H19" i="4"/>
  <c r="I19" i="4"/>
  <c r="J19" i="4"/>
  <c r="B18" i="4"/>
  <c r="J18" i="4"/>
  <c r="I18" i="4"/>
  <c r="H18" i="4"/>
  <c r="G18" i="4"/>
  <c r="F18" i="4"/>
  <c r="E18" i="4"/>
  <c r="D18" i="4"/>
  <c r="C18" i="4"/>
  <c r="K18" i="4"/>
  <c r="C17" i="4"/>
  <c r="D17" i="4"/>
  <c r="J17" i="4"/>
  <c r="B17" i="4"/>
  <c r="I17" i="4"/>
  <c r="K17" i="4"/>
  <c r="H17" i="4"/>
  <c r="G17" i="4"/>
  <c r="F17" i="4"/>
  <c r="E17" i="4"/>
  <c r="C16" i="4"/>
  <c r="K16" i="4"/>
  <c r="E16" i="4"/>
  <c r="B16" i="4"/>
  <c r="D16" i="4"/>
  <c r="F16" i="4"/>
  <c r="I16" i="4"/>
  <c r="G16" i="4"/>
  <c r="H16" i="4"/>
  <c r="J16" i="4"/>
  <c r="G15" i="4"/>
  <c r="I15" i="4"/>
  <c r="C15" i="4"/>
  <c r="F15" i="4"/>
  <c r="B15" i="4"/>
  <c r="K15" i="4"/>
  <c r="E15" i="4"/>
  <c r="H15" i="4"/>
  <c r="J15" i="4"/>
  <c r="D15" i="4"/>
  <c r="G14" i="4"/>
  <c r="B14" i="4"/>
  <c r="I14" i="4"/>
  <c r="F14" i="4"/>
  <c r="E14" i="4"/>
  <c r="C14" i="4"/>
  <c r="K14" i="4"/>
  <c r="D14" i="4"/>
  <c r="J14" i="4"/>
  <c r="G13" i="4"/>
  <c r="C13" i="4"/>
  <c r="F13" i="4"/>
  <c r="J13" i="4"/>
  <c r="D13" i="4"/>
  <c r="E13" i="4"/>
  <c r="B13" i="4"/>
  <c r="I13" i="4"/>
  <c r="K13" i="4" s="1"/>
  <c r="G12" i="4"/>
  <c r="J12" i="4"/>
  <c r="D12" i="4"/>
  <c r="F12" i="4"/>
  <c r="I12" i="4"/>
  <c r="K12" i="4" s="1"/>
  <c r="B12" i="4"/>
  <c r="E12" i="4"/>
  <c r="C12" i="4"/>
  <c r="I11" i="4"/>
  <c r="C11" i="4"/>
  <c r="D11" i="4"/>
  <c r="E11" i="4"/>
  <c r="F11" i="4"/>
  <c r="G11" i="4"/>
  <c r="J11" i="4"/>
  <c r="K11" i="4" s="1"/>
  <c r="B11" i="4"/>
  <c r="J10" i="4"/>
  <c r="B10" i="4"/>
  <c r="E10" i="4"/>
  <c r="G10" i="4"/>
  <c r="C10" i="4"/>
  <c r="D10" i="4"/>
  <c r="F10" i="4"/>
  <c r="I10" i="4"/>
  <c r="K10" i="4" s="1"/>
  <c r="C9" i="4"/>
  <c r="D9" i="4"/>
  <c r="E9" i="4"/>
  <c r="F9" i="4"/>
  <c r="G9" i="4"/>
  <c r="I9" i="4"/>
  <c r="K9" i="4" s="1"/>
  <c r="J9" i="4"/>
  <c r="B9" i="4"/>
  <c r="C8" i="4"/>
  <c r="J8" i="4"/>
  <c r="I8" i="4"/>
  <c r="E8" i="4"/>
  <c r="D8" i="4"/>
  <c r="B8" i="4"/>
  <c r="K8" i="4"/>
  <c r="F8" i="4"/>
  <c r="G8" i="4"/>
  <c r="E7" i="4"/>
  <c r="B7" i="4"/>
  <c r="G7" i="4"/>
  <c r="F7" i="4"/>
  <c r="D7" i="4"/>
  <c r="C7" i="4"/>
  <c r="J7" i="4"/>
  <c r="I7" i="4"/>
  <c r="K7" i="4" s="1"/>
  <c r="B6" i="4"/>
  <c r="J6" i="4"/>
  <c r="I6" i="4"/>
  <c r="G6" i="4"/>
  <c r="F6" i="4"/>
  <c r="E6" i="4"/>
  <c r="D6" i="4"/>
  <c r="C6" i="4"/>
  <c r="K6" i="4"/>
  <c r="B40" i="2"/>
  <c r="H39" i="2"/>
  <c r="G39" i="2"/>
  <c r="F39" i="2"/>
  <c r="E39" i="2"/>
  <c r="D39" i="2"/>
  <c r="C39" i="2"/>
  <c r="B39" i="2"/>
  <c r="H38" i="2"/>
  <c r="G38" i="2"/>
  <c r="F38" i="2"/>
  <c r="E38" i="2"/>
  <c r="D38" i="2"/>
  <c r="C38" i="2"/>
  <c r="B38" i="2"/>
  <c r="H37" i="2"/>
  <c r="G37" i="2"/>
  <c r="F37" i="2"/>
  <c r="E37" i="2"/>
  <c r="D37" i="2"/>
  <c r="C37" i="2"/>
  <c r="B37" i="2"/>
  <c r="H36" i="2"/>
  <c r="G36" i="2"/>
  <c r="F36" i="2"/>
  <c r="E36" i="2"/>
  <c r="D36" i="2"/>
  <c r="C36" i="2"/>
  <c r="B36" i="2"/>
  <c r="H35" i="2"/>
  <c r="G35" i="2"/>
  <c r="F35" i="2"/>
  <c r="E35" i="2"/>
  <c r="D35" i="2"/>
  <c r="C35" i="2"/>
  <c r="B35" i="2"/>
  <c r="H34" i="2"/>
  <c r="F34" i="2"/>
  <c r="E34" i="2"/>
  <c r="D34" i="2"/>
  <c r="C34" i="2"/>
  <c r="B34" i="2"/>
  <c r="H33" i="2"/>
  <c r="G33" i="2"/>
  <c r="F33" i="2"/>
  <c r="E33" i="2"/>
  <c r="D33" i="2"/>
  <c r="C33" i="2"/>
  <c r="B33" i="2"/>
  <c r="H32" i="2"/>
  <c r="G32" i="2"/>
  <c r="F32" i="2"/>
  <c r="E32" i="2"/>
  <c r="D32" i="2"/>
  <c r="C32" i="2"/>
  <c r="E59" i="2"/>
  <c r="H31" i="2"/>
  <c r="G31" i="2"/>
  <c r="F31" i="2"/>
  <c r="E31" i="2"/>
  <c r="D31" i="2"/>
  <c r="C31" i="2"/>
  <c r="B31" i="2"/>
  <c r="H30" i="2"/>
  <c r="G30" i="2"/>
  <c r="F30" i="2"/>
  <c r="E30" i="2"/>
  <c r="D30" i="2"/>
  <c r="C30" i="2"/>
  <c r="B30" i="2"/>
  <c r="H29" i="2"/>
  <c r="G29" i="2"/>
  <c r="F29" i="2"/>
  <c r="E29" i="2"/>
  <c r="D29" i="2"/>
  <c r="C29" i="2"/>
  <c r="B29" i="2"/>
  <c r="H28" i="2"/>
  <c r="D28" i="2"/>
  <c r="C28" i="2"/>
  <c r="B28" i="2"/>
  <c r="H27" i="2"/>
  <c r="D27" i="2"/>
  <c r="C27" i="2"/>
  <c r="B27" i="2"/>
  <c r="H26" i="2"/>
  <c r="D26" i="2"/>
  <c r="C26" i="2"/>
  <c r="B26" i="2"/>
  <c r="H25" i="2"/>
  <c r="D25" i="2"/>
  <c r="C25" i="2"/>
  <c r="B25" i="2"/>
  <c r="H24" i="2"/>
  <c r="D24" i="2"/>
  <c r="C24" i="2"/>
  <c r="B24" i="2"/>
  <c r="H23" i="2"/>
  <c r="D23" i="2"/>
  <c r="C23" i="2"/>
  <c r="B23" i="2"/>
  <c r="H22" i="2"/>
  <c r="D22" i="2"/>
  <c r="C22" i="2"/>
  <c r="B22" i="2"/>
  <c r="H21" i="2"/>
  <c r="D21" i="2"/>
  <c r="C21" i="2"/>
  <c r="B21" i="2"/>
  <c r="D17" i="2"/>
  <c r="D16" i="2"/>
  <c r="D15" i="2"/>
  <c r="D14" i="2"/>
  <c r="D13" i="2"/>
  <c r="D12" i="2"/>
  <c r="D11" i="2"/>
  <c r="D10" i="2"/>
  <c r="D9" i="2"/>
  <c r="D8" i="2"/>
  <c r="B6" i="2"/>
  <c r="G34" i="2"/>
  <c r="H60" i="2"/>
  <c r="G60" i="2"/>
  <c r="F60" i="2"/>
  <c r="E60" i="2"/>
  <c r="D60" i="2"/>
  <c r="C60" i="2"/>
  <c r="B60" i="2"/>
  <c r="H59" i="2"/>
  <c r="G59" i="2"/>
  <c r="F59" i="2"/>
  <c r="D59" i="2"/>
  <c r="C59" i="2"/>
  <c r="B59" i="2"/>
  <c r="H58" i="2"/>
  <c r="G58" i="2"/>
  <c r="F58" i="2"/>
  <c r="E58" i="2"/>
  <c r="D58" i="2"/>
  <c r="C58" i="2"/>
  <c r="B58" i="2"/>
  <c r="H57" i="2"/>
  <c r="G57" i="2"/>
  <c r="F57" i="2"/>
  <c r="E57" i="2"/>
  <c r="D57" i="2"/>
  <c r="C57" i="2"/>
  <c r="B57" i="2"/>
  <c r="H56" i="2"/>
  <c r="G56" i="2"/>
  <c r="F56" i="2"/>
  <c r="E56" i="2"/>
  <c r="D56" i="2"/>
  <c r="C56" i="2"/>
  <c r="B56" i="2"/>
  <c r="H55" i="2"/>
  <c r="G55" i="2"/>
  <c r="F55" i="2"/>
  <c r="E55" i="2"/>
  <c r="D55" i="2"/>
  <c r="C55" i="2"/>
  <c r="B55" i="2"/>
  <c r="H54" i="2"/>
  <c r="G54" i="2"/>
  <c r="F54" i="2"/>
  <c r="E54" i="2"/>
  <c r="D54" i="2"/>
  <c r="C54" i="2"/>
  <c r="B54" i="2"/>
  <c r="H53" i="2"/>
  <c r="G53" i="2"/>
  <c r="F53" i="2"/>
  <c r="E53" i="2"/>
  <c r="D53" i="2"/>
  <c r="C53" i="2"/>
  <c r="B53" i="2"/>
  <c r="H52" i="2"/>
  <c r="G52" i="2"/>
  <c r="F52" i="2"/>
  <c r="E52" i="2"/>
  <c r="D52" i="2"/>
  <c r="C52" i="2"/>
  <c r="B52" i="2"/>
  <c r="H51" i="2"/>
  <c r="G51" i="2"/>
  <c r="F51" i="2"/>
  <c r="E51" i="2"/>
  <c r="D51" i="2"/>
  <c r="C51" i="2"/>
  <c r="B51" i="2"/>
  <c r="H50" i="2"/>
  <c r="G50" i="2"/>
  <c r="F50" i="2"/>
  <c r="E50" i="2"/>
  <c r="D50" i="2"/>
  <c r="C50" i="2"/>
  <c r="B50" i="2"/>
  <c r="H49" i="2"/>
  <c r="G49" i="2"/>
  <c r="F49" i="2"/>
  <c r="E49" i="2"/>
  <c r="D49" i="2"/>
  <c r="C49" i="2"/>
  <c r="B49" i="2"/>
  <c r="B32" i="2"/>
  <c r="H48" i="2"/>
  <c r="G48" i="2"/>
  <c r="F48" i="2"/>
  <c r="E48" i="2"/>
  <c r="D48" i="2"/>
  <c r="C48" i="2"/>
  <c r="B48" i="2"/>
  <c r="H47" i="2"/>
  <c r="G47" i="2"/>
  <c r="F47" i="2"/>
  <c r="E47" i="2"/>
  <c r="D47" i="2"/>
  <c r="C47" i="2"/>
  <c r="B47" i="2"/>
  <c r="H46" i="2"/>
  <c r="G46" i="2"/>
  <c r="F46" i="2"/>
  <c r="E46" i="2"/>
  <c r="D46" i="2"/>
  <c r="C46" i="2"/>
  <c r="B46" i="2"/>
  <c r="H45" i="2"/>
  <c r="G45" i="2"/>
  <c r="F45" i="2"/>
  <c r="E45" i="2"/>
  <c r="D45" i="2"/>
  <c r="C45" i="2"/>
  <c r="B45" i="2"/>
  <c r="H44" i="2"/>
  <c r="G44" i="2"/>
  <c r="F44" i="2"/>
  <c r="E44" i="2"/>
  <c r="D44" i="2"/>
  <c r="C44" i="2"/>
  <c r="B44" i="2"/>
  <c r="H43" i="2"/>
  <c r="G43" i="2"/>
  <c r="F43" i="2"/>
  <c r="E43" i="2"/>
  <c r="D43" i="2"/>
  <c r="C43" i="2"/>
  <c r="B43" i="2"/>
  <c r="H42" i="2"/>
  <c r="G42" i="2"/>
  <c r="F42" i="2"/>
  <c r="E42" i="2"/>
  <c r="D42" i="2"/>
  <c r="C42" i="2"/>
  <c r="B42" i="2"/>
  <c r="H41" i="2"/>
  <c r="G41" i="2"/>
  <c r="F41" i="2"/>
  <c r="E41" i="2"/>
  <c r="D41" i="2"/>
  <c r="C41" i="2"/>
  <c r="B41" i="2"/>
  <c r="H40" i="2"/>
  <c r="G40" i="2"/>
  <c r="F40" i="2"/>
  <c r="E40" i="2"/>
  <c r="D40" i="2"/>
  <c r="C40" i="2"/>
  <c r="G5" i="6"/>
  <c r="AQ5" i="6" s="1"/>
  <c r="H5" i="6" s="1"/>
  <c r="AG6" i="6"/>
  <c r="S6" i="6"/>
  <c r="AB6" i="6"/>
  <c r="V6" i="6"/>
  <c r="AE6" i="6"/>
  <c r="AA6" i="6"/>
  <c r="W6" i="6"/>
  <c r="X6" i="6"/>
  <c r="Z6" i="6"/>
  <c r="AF6" i="6"/>
  <c r="AH6" i="6"/>
  <c r="AD6" i="6"/>
  <c r="Y6" i="6"/>
  <c r="T6" i="6"/>
  <c r="R6" i="6"/>
  <c r="U6" i="6"/>
  <c r="AC6" i="6"/>
  <c r="G6" i="6"/>
  <c r="Z7" i="6"/>
  <c r="W7" i="6"/>
  <c r="U7" i="6"/>
  <c r="X7" i="6"/>
  <c r="Y7" i="6"/>
  <c r="T7" i="6"/>
  <c r="L7" i="6"/>
  <c r="AH7" i="6"/>
  <c r="V7" i="6"/>
  <c r="G7" i="6"/>
  <c r="AQ7" i="6" s="1"/>
  <c r="H7" i="6" s="1"/>
  <c r="AR7" i="6" s="1"/>
  <c r="AD7" i="6"/>
  <c r="S7" i="6"/>
  <c r="AE7" i="6"/>
  <c r="AG7" i="6"/>
  <c r="R7" i="6"/>
  <c r="AC7" i="6"/>
  <c r="AF7" i="6"/>
  <c r="AA7" i="6"/>
  <c r="AB7" i="6"/>
  <c r="Y8" i="6"/>
  <c r="L8" i="6"/>
  <c r="G8" i="6"/>
  <c r="AQ8" i="6" s="1"/>
  <c r="H8" i="6" s="1"/>
  <c r="K8" i="6"/>
  <c r="AH8" i="6"/>
  <c r="AG8" i="6"/>
  <c r="R8" i="6"/>
  <c r="AE8" i="6"/>
  <c r="AF8" i="6"/>
  <c r="S8" i="6"/>
  <c r="AD8" i="6"/>
  <c r="T8" i="6"/>
  <c r="U8" i="6"/>
  <c r="AC8" i="6"/>
  <c r="AB8" i="6"/>
  <c r="V8" i="6"/>
  <c r="AA8" i="6"/>
  <c r="W8" i="6"/>
  <c r="Z8" i="6"/>
  <c r="X8" i="6"/>
  <c r="Z9" i="6"/>
  <c r="S9" i="6"/>
  <c r="AF9" i="6"/>
  <c r="Y9" i="6"/>
  <c r="G9" i="6"/>
  <c r="AQ9" i="6" s="1"/>
  <c r="H9" i="6" s="1"/>
  <c r="X9" i="6"/>
  <c r="AE9" i="6"/>
  <c r="AA9" i="6"/>
  <c r="V9" i="6"/>
  <c r="T9" i="6"/>
  <c r="AB9" i="6"/>
  <c r="AH9" i="6"/>
  <c r="AC9" i="6"/>
  <c r="U9" i="6"/>
  <c r="R9" i="6"/>
  <c r="AG9" i="6"/>
  <c r="W9" i="6"/>
  <c r="AD9" i="6"/>
  <c r="Z10" i="6"/>
  <c r="R10" i="6"/>
  <c r="G10" i="6"/>
  <c r="AQ10" i="6" s="1"/>
  <c r="H10" i="6" s="1"/>
  <c r="AR10" i="6" s="1"/>
  <c r="AE10" i="6"/>
  <c r="V10" i="6"/>
  <c r="AB10" i="6"/>
  <c r="W10" i="6"/>
  <c r="AD10" i="6"/>
  <c r="X10" i="6"/>
  <c r="Y10" i="6"/>
  <c r="AH10" i="6"/>
  <c r="S10" i="6"/>
  <c r="T10" i="6"/>
  <c r="AG10" i="6"/>
  <c r="AA10" i="6"/>
  <c r="U10" i="6"/>
  <c r="AC10" i="6"/>
  <c r="AF10" i="6"/>
  <c r="AA11" i="6"/>
  <c r="AG11" i="6"/>
  <c r="T11" i="6"/>
  <c r="AD11" i="6"/>
  <c r="AB11" i="6"/>
  <c r="X11" i="6"/>
  <c r="U11" i="6"/>
  <c r="K11" i="6"/>
  <c r="AH11" i="6"/>
  <c r="S11" i="6"/>
  <c r="W11" i="6"/>
  <c r="V11" i="6"/>
  <c r="AC11" i="6"/>
  <c r="Z11" i="6"/>
  <c r="G11" i="6"/>
  <c r="AQ11" i="6" s="1"/>
  <c r="H11" i="6" s="1"/>
  <c r="AR11" i="6" s="1"/>
  <c r="AF11" i="6"/>
  <c r="R11" i="6"/>
  <c r="AE11" i="6"/>
  <c r="J11" i="6"/>
  <c r="Y11" i="6"/>
  <c r="L11" i="6"/>
  <c r="S12" i="6"/>
  <c r="AB12" i="6"/>
  <c r="AE12" i="6"/>
  <c r="G12" i="6"/>
  <c r="AQ12" i="6" s="1"/>
  <c r="K12" i="6"/>
  <c r="AD12" i="6"/>
  <c r="R12" i="6"/>
  <c r="AH12" i="6"/>
  <c r="AA12" i="6"/>
  <c r="Y12" i="6"/>
  <c r="H12" i="6"/>
  <c r="AF12" i="6"/>
  <c r="U12" i="6"/>
  <c r="L12" i="6"/>
  <c r="AC12" i="6"/>
  <c r="J12" i="6"/>
  <c r="T12" i="6"/>
  <c r="Z12" i="6"/>
  <c r="AG12" i="6"/>
  <c r="X12" i="6"/>
  <c r="W12" i="6"/>
  <c r="V12" i="6"/>
  <c r="AD13" i="6"/>
  <c r="AH13" i="6"/>
  <c r="AA13" i="6"/>
  <c r="T13" i="6"/>
  <c r="AF13" i="6"/>
  <c r="AE13" i="6"/>
  <c r="Z13" i="6"/>
  <c r="AB13" i="6"/>
  <c r="U13" i="6"/>
  <c r="X13" i="6"/>
  <c r="W13" i="6"/>
  <c r="V13" i="6"/>
  <c r="AC13" i="6"/>
  <c r="G13" i="6"/>
  <c r="AQ13" i="6" s="1"/>
  <c r="Y13" i="6"/>
  <c r="R13" i="6"/>
  <c r="L13" i="6"/>
  <c r="AG13" i="6"/>
  <c r="H13" i="6"/>
  <c r="S13" i="6"/>
  <c r="AF14" i="6"/>
  <c r="Y14" i="6"/>
  <c r="AA14" i="6"/>
  <c r="T14" i="6"/>
  <c r="V14" i="6"/>
  <c r="G14" i="6"/>
  <c r="AQ14" i="6" s="1"/>
  <c r="X14" i="6"/>
  <c r="AG14" i="6"/>
  <c r="AH14" i="6"/>
  <c r="Z14" i="6"/>
  <c r="AB14" i="6"/>
  <c r="S14" i="6"/>
  <c r="AC14" i="6"/>
  <c r="AD14" i="6"/>
  <c r="H14" i="6"/>
  <c r="W14" i="6"/>
  <c r="AE14" i="6"/>
  <c r="R14" i="6"/>
  <c r="U14" i="6"/>
  <c r="R15" i="6"/>
  <c r="W15" i="6"/>
  <c r="S15" i="6"/>
  <c r="I15" i="6"/>
  <c r="G15" i="6"/>
  <c r="AQ15" i="6" s="1"/>
  <c r="Y15" i="6"/>
  <c r="K15" i="6"/>
  <c r="AH15" i="6"/>
  <c r="AF15" i="6"/>
  <c r="X15" i="6"/>
  <c r="AD15" i="6"/>
  <c r="L15" i="6"/>
  <c r="AB15" i="6"/>
  <c r="V15" i="6"/>
  <c r="T15" i="6"/>
  <c r="AA15" i="6"/>
  <c r="AC15" i="6"/>
  <c r="U15" i="6"/>
  <c r="AE15" i="6"/>
  <c r="J15" i="6"/>
  <c r="H15" i="6"/>
  <c r="Z15" i="6"/>
  <c r="AG15" i="6"/>
  <c r="Z16" i="6"/>
  <c r="AF16" i="6"/>
  <c r="J16" i="6"/>
  <c r="H16" i="6"/>
  <c r="G16" i="6"/>
  <c r="AQ16" i="6" s="1"/>
  <c r="AR16" i="6" s="1"/>
  <c r="K16" i="6"/>
  <c r="AH16" i="6"/>
  <c r="Y16" i="6"/>
  <c r="V16" i="6"/>
  <c r="AA16" i="6"/>
  <c r="AG16" i="6"/>
  <c r="AC16" i="6"/>
  <c r="L16" i="6"/>
  <c r="AE16" i="6"/>
  <c r="S16" i="6"/>
  <c r="T16" i="6"/>
  <c r="U16" i="6"/>
  <c r="X16" i="6"/>
  <c r="R16" i="6"/>
  <c r="W16" i="6"/>
  <c r="AB16" i="6"/>
  <c r="AD16" i="6"/>
  <c r="I16" i="6"/>
  <c r="U17" i="6"/>
  <c r="K17" i="6"/>
  <c r="AH17" i="6"/>
  <c r="Y17" i="6"/>
  <c r="T17" i="6"/>
  <c r="R17" i="6"/>
  <c r="X17" i="6"/>
  <c r="G17" i="6"/>
  <c r="AQ17" i="6" s="1"/>
  <c r="AB17" i="6"/>
  <c r="AA17" i="6"/>
  <c r="Z17" i="6"/>
  <c r="V17" i="6"/>
  <c r="AF17" i="6"/>
  <c r="W17" i="6"/>
  <c r="AC17" i="6"/>
  <c r="AD17" i="6"/>
  <c r="L17" i="6"/>
  <c r="I17" i="6"/>
  <c r="S17" i="6"/>
  <c r="AE17" i="6"/>
  <c r="AG17" i="6"/>
  <c r="H17" i="6"/>
  <c r="J17" i="6"/>
  <c r="L18" i="6"/>
  <c r="AB18" i="6"/>
  <c r="V18" i="6"/>
  <c r="AC18" i="6"/>
  <c r="G18" i="6"/>
  <c r="AQ18" i="6" s="1"/>
  <c r="X18" i="6"/>
  <c r="AF18" i="6"/>
  <c r="R18" i="6"/>
  <c r="S18" i="6"/>
  <c r="Y18" i="6"/>
  <c r="AH18" i="6"/>
  <c r="AE18" i="6"/>
  <c r="W18" i="6"/>
  <c r="U18" i="6"/>
  <c r="AG18" i="6"/>
  <c r="AD18" i="6"/>
  <c r="T18" i="6"/>
  <c r="K18" i="6"/>
  <c r="Z18" i="6"/>
  <c r="H18" i="6"/>
  <c r="I18" i="6"/>
  <c r="AA18" i="6"/>
  <c r="J18" i="6"/>
  <c r="AD19" i="6"/>
  <c r="R19" i="6"/>
  <c r="Y19" i="6"/>
  <c r="AA19" i="6"/>
  <c r="AF19" i="6"/>
  <c r="AB19" i="6"/>
  <c r="AE19" i="6"/>
  <c r="T19" i="6"/>
  <c r="K19" i="6"/>
  <c r="AH19" i="6"/>
  <c r="U19" i="6"/>
  <c r="Z19" i="6"/>
  <c r="AG19" i="6"/>
  <c r="V19" i="6"/>
  <c r="G19" i="6"/>
  <c r="AQ19" i="6" s="1"/>
  <c r="W19" i="6"/>
  <c r="X19" i="6"/>
  <c r="S19" i="6"/>
  <c r="L19" i="6"/>
  <c r="AC19" i="6"/>
  <c r="H19" i="6"/>
  <c r="I19" i="6"/>
  <c r="J19" i="6"/>
  <c r="AB20" i="6"/>
  <c r="X20" i="6"/>
  <c r="T20" i="6"/>
  <c r="W20" i="6"/>
  <c r="AF20" i="6"/>
  <c r="AH20" i="6"/>
  <c r="S20" i="6"/>
  <c r="Z20" i="6"/>
  <c r="U20" i="6"/>
  <c r="G20" i="6"/>
  <c r="AQ20" i="6" s="1"/>
  <c r="V20" i="6"/>
  <c r="K20" i="6"/>
  <c r="R20" i="6"/>
  <c r="H20" i="6"/>
  <c r="AA20" i="6"/>
  <c r="AG20" i="6"/>
  <c r="Y20" i="6"/>
  <c r="AC20" i="6"/>
  <c r="L20" i="6"/>
  <c r="AD20" i="6"/>
  <c r="I20" i="6"/>
  <c r="AE20" i="6"/>
  <c r="J20" i="6"/>
  <c r="V21" i="6"/>
  <c r="W21" i="6"/>
  <c r="S21" i="6"/>
  <c r="AG21" i="6"/>
  <c r="AE21" i="6"/>
  <c r="Y21" i="6"/>
  <c r="AB21" i="6"/>
  <c r="R21" i="6"/>
  <c r="H21" i="6"/>
  <c r="X21" i="6"/>
  <c r="Z21" i="6"/>
  <c r="AA21" i="6"/>
  <c r="G21" i="6"/>
  <c r="AQ21" i="6" s="1"/>
  <c r="AR21" i="6" s="1"/>
  <c r="U21" i="6"/>
  <c r="L21" i="6"/>
  <c r="AC21" i="6"/>
  <c r="AF21" i="6"/>
  <c r="AD21" i="6"/>
  <c r="AH21" i="6"/>
  <c r="I21" i="6"/>
  <c r="K21" i="6"/>
  <c r="T21" i="6"/>
  <c r="J21" i="6"/>
  <c r="Z22" i="6"/>
  <c r="L22" i="6"/>
  <c r="I22" i="6"/>
  <c r="H22" i="6"/>
  <c r="X22" i="6"/>
  <c r="AD22" i="6"/>
  <c r="Y22" i="6"/>
  <c r="AA22" i="6"/>
  <c r="AF22" i="6"/>
  <c r="AB22" i="6"/>
  <c r="K22" i="6"/>
  <c r="T22" i="6"/>
  <c r="R22" i="6"/>
  <c r="AC22" i="6"/>
  <c r="W22" i="6"/>
  <c r="AE22" i="6"/>
  <c r="S22" i="6"/>
  <c r="V22" i="6"/>
  <c r="U22" i="6"/>
  <c r="AH22" i="6"/>
  <c r="G22" i="6"/>
  <c r="AQ22" i="6" s="1"/>
  <c r="AR22" i="6" s="1"/>
  <c r="AS22" i="6" s="1"/>
  <c r="AG22" i="6"/>
  <c r="J22" i="6"/>
  <c r="G23" i="6"/>
  <c r="AQ23" i="6" s="1"/>
  <c r="Y23" i="6"/>
  <c r="V23" i="6"/>
  <c r="I23" i="6"/>
  <c r="Z23" i="6"/>
  <c r="AF23" i="6"/>
  <c r="T23" i="6"/>
  <c r="AC23" i="6"/>
  <c r="X23" i="6"/>
  <c r="L23" i="6"/>
  <c r="H23" i="6"/>
  <c r="AG23" i="6"/>
  <c r="U23" i="6"/>
  <c r="W23" i="6"/>
  <c r="S23" i="6"/>
  <c r="AA23" i="6"/>
  <c r="AH23" i="6"/>
  <c r="K23" i="6"/>
  <c r="AE23" i="6"/>
  <c r="AD23" i="6"/>
  <c r="AB23" i="6"/>
  <c r="R23" i="6"/>
  <c r="J23" i="6"/>
  <c r="AG24" i="6"/>
  <c r="T24" i="6"/>
  <c r="U24" i="6"/>
  <c r="AH24" i="6"/>
  <c r="V24" i="6"/>
  <c r="L24" i="6"/>
  <c r="G24" i="6"/>
  <c r="AQ24" i="6" s="1"/>
  <c r="S24" i="6"/>
  <c r="X24" i="6"/>
  <c r="Y24" i="6"/>
  <c r="R24" i="6"/>
  <c r="AA24" i="6"/>
  <c r="W24" i="6"/>
  <c r="AD24" i="6"/>
  <c r="AF24" i="6"/>
  <c r="Z24" i="6"/>
  <c r="AE24" i="6"/>
  <c r="K24" i="6"/>
  <c r="AC24" i="6"/>
  <c r="I24" i="6"/>
  <c r="AB24" i="6"/>
  <c r="H24" i="6"/>
  <c r="J24" i="6"/>
  <c r="S25" i="6"/>
  <c r="AG25" i="6"/>
  <c r="G25" i="6"/>
  <c r="AQ25" i="6" s="1"/>
  <c r="AF25" i="6"/>
  <c r="Y25" i="6"/>
  <c r="W25" i="6"/>
  <c r="AD25" i="6"/>
  <c r="R25" i="6"/>
  <c r="V25" i="6"/>
  <c r="K25" i="6"/>
  <c r="X25" i="6"/>
  <c r="AC25" i="6"/>
  <c r="AA25" i="6"/>
  <c r="AE25" i="6"/>
  <c r="H25" i="6"/>
  <c r="U25" i="6"/>
  <c r="L25" i="6"/>
  <c r="AH25" i="6"/>
  <c r="I25" i="6"/>
  <c r="AB25" i="6"/>
  <c r="T25" i="6"/>
  <c r="Z25" i="6"/>
  <c r="J25" i="6"/>
  <c r="I26" i="6"/>
  <c r="AG26" i="6"/>
  <c r="G26" i="6"/>
  <c r="AQ26" i="6" s="1"/>
  <c r="U26" i="6"/>
  <c r="K26" i="6"/>
  <c r="AA26" i="6"/>
  <c r="Z26" i="6"/>
  <c r="H26" i="6"/>
  <c r="AC26" i="6"/>
  <c r="T26" i="6"/>
  <c r="AF26" i="6"/>
  <c r="AB26" i="6"/>
  <c r="Y26" i="6"/>
  <c r="AE26" i="6"/>
  <c r="W26" i="6"/>
  <c r="R26" i="6"/>
  <c r="AH26" i="6"/>
  <c r="S26" i="6"/>
  <c r="V26" i="6"/>
  <c r="X26" i="6"/>
  <c r="L26" i="6"/>
  <c r="AD26" i="6"/>
  <c r="J26" i="6"/>
  <c r="H27" i="6"/>
  <c r="I27" i="6"/>
  <c r="S27" i="6"/>
  <c r="K27" i="6"/>
  <c r="AE27" i="6"/>
  <c r="AD27" i="6"/>
  <c r="AA27" i="6"/>
  <c r="T27" i="6"/>
  <c r="U27" i="6"/>
  <c r="R27" i="6"/>
  <c r="V27" i="6"/>
  <c r="W27" i="6"/>
  <c r="AC27" i="6"/>
  <c r="AB27" i="6"/>
  <c r="X27" i="6"/>
  <c r="Y27" i="6"/>
  <c r="AF27" i="6"/>
  <c r="AG27" i="6"/>
  <c r="L27" i="6"/>
  <c r="AH27" i="6"/>
  <c r="G27" i="6"/>
  <c r="AQ27" i="6" s="1"/>
  <c r="AR27" i="6" s="1"/>
  <c r="AS27" i="6" s="1"/>
  <c r="Z27" i="6"/>
  <c r="J27" i="6"/>
  <c r="R28" i="6"/>
  <c r="U28" i="6"/>
  <c r="V28" i="6"/>
  <c r="AE28" i="6"/>
  <c r="AC28" i="6"/>
  <c r="AF28" i="6"/>
  <c r="AD28" i="6"/>
  <c r="AA28" i="6"/>
  <c r="Z28" i="6"/>
  <c r="AB28" i="6"/>
  <c r="I28" i="6"/>
  <c r="J28" i="6"/>
  <c r="G28" i="6"/>
  <c r="AQ28" i="6" s="1"/>
  <c r="H28" i="6"/>
  <c r="AH28" i="6"/>
  <c r="X28" i="6"/>
  <c r="L28" i="6"/>
  <c r="K28" i="6"/>
  <c r="T28" i="6"/>
  <c r="AG28" i="6"/>
  <c r="S28" i="6"/>
  <c r="Y28" i="6"/>
  <c r="W28" i="6"/>
  <c r="AE29" i="6"/>
  <c r="AB29" i="6"/>
  <c r="AC29" i="6"/>
  <c r="V29" i="6"/>
  <c r="AF29" i="6"/>
  <c r="Y29" i="6"/>
  <c r="S29" i="6"/>
  <c r="H29" i="6"/>
  <c r="T29" i="6"/>
  <c r="Z29" i="6"/>
  <c r="I29" i="6"/>
  <c r="J29" i="6"/>
  <c r="K29" i="6"/>
  <c r="R29" i="6"/>
  <c r="AA29" i="6"/>
  <c r="W29" i="6"/>
  <c r="U29" i="6"/>
  <c r="G29" i="6"/>
  <c r="AQ29" i="6" s="1"/>
  <c r="AR29" i="6" s="1"/>
  <c r="AS29" i="6" s="1"/>
  <c r="AT29" i="6" s="1"/>
  <c r="AU29" i="6" s="1"/>
  <c r="AD29" i="6"/>
  <c r="X29" i="6"/>
  <c r="AH29" i="6"/>
  <c r="L29" i="6"/>
  <c r="AG29" i="6"/>
  <c r="G30" i="6"/>
  <c r="AQ30" i="6" s="1"/>
  <c r="K30" i="6"/>
  <c r="Y30" i="6"/>
  <c r="AC30" i="6"/>
  <c r="R30" i="6"/>
  <c r="J30" i="6"/>
  <c r="H30" i="6"/>
  <c r="S30" i="6"/>
  <c r="U30" i="6"/>
  <c r="T30" i="6"/>
  <c r="AE30" i="6"/>
  <c r="Z30" i="6"/>
  <c r="W30" i="6"/>
  <c r="AD30" i="6"/>
  <c r="AF30" i="6"/>
  <c r="AH30" i="6"/>
  <c r="X30" i="6"/>
  <c r="AB30" i="6"/>
  <c r="I30" i="6"/>
  <c r="L30" i="6"/>
  <c r="V30" i="6"/>
  <c r="AG30" i="6"/>
  <c r="AA30" i="6"/>
  <c r="X31" i="6"/>
  <c r="T31" i="6"/>
  <c r="K31" i="6"/>
  <c r="S31" i="6"/>
  <c r="Z31" i="6"/>
  <c r="AD31" i="6"/>
  <c r="G31" i="6"/>
  <c r="AQ31" i="6" s="1"/>
  <c r="AF31" i="6"/>
  <c r="AC31" i="6"/>
  <c r="H31" i="6"/>
  <c r="AB31" i="6"/>
  <c r="AE31" i="6"/>
  <c r="W31" i="6"/>
  <c r="I31" i="6"/>
  <c r="J31" i="6"/>
  <c r="Y31" i="6"/>
  <c r="AH31" i="6"/>
  <c r="L31" i="6"/>
  <c r="AG31" i="6"/>
  <c r="U31" i="6"/>
  <c r="R31" i="6"/>
  <c r="V31" i="6"/>
  <c r="AA31" i="6"/>
  <c r="AB32" i="6"/>
  <c r="U32" i="6"/>
  <c r="AD32" i="6"/>
  <c r="AF32" i="6"/>
  <c r="X32" i="6"/>
  <c r="Y32" i="6"/>
  <c r="V32" i="6"/>
  <c r="J32" i="6"/>
  <c r="AG32" i="6"/>
  <c r="W32" i="6"/>
  <c r="AH32" i="6"/>
  <c r="I32" i="6"/>
  <c r="L32" i="6"/>
  <c r="AC32" i="6"/>
  <c r="H32" i="6"/>
  <c r="AE32" i="6"/>
  <c r="G32" i="6"/>
  <c r="AQ32" i="6" s="1"/>
  <c r="AR32" i="6" s="1"/>
  <c r="AS32" i="6" s="1"/>
  <c r="AT32" i="6" s="1"/>
  <c r="T32" i="6"/>
  <c r="R32" i="6"/>
  <c r="S32" i="6"/>
  <c r="Z32" i="6"/>
  <c r="K32" i="6"/>
  <c r="AA32" i="6"/>
  <c r="AD33" i="6"/>
  <c r="R33" i="6"/>
  <c r="Y33" i="6"/>
  <c r="J33" i="6"/>
  <c r="W33" i="6"/>
  <c r="AE33" i="6"/>
  <c r="AC33" i="6"/>
  <c r="G33" i="6"/>
  <c r="AQ33" i="6" s="1"/>
  <c r="T33" i="6"/>
  <c r="K33" i="6"/>
  <c r="U33" i="6"/>
  <c r="AH33" i="6"/>
  <c r="L33" i="6"/>
  <c r="X33" i="6"/>
  <c r="AG33" i="6"/>
  <c r="V33" i="6"/>
  <c r="I33" i="6"/>
  <c r="S33" i="6"/>
  <c r="AB33" i="6"/>
  <c r="Z33" i="6"/>
  <c r="AF33" i="6"/>
  <c r="H33" i="6"/>
  <c r="AA33" i="6"/>
  <c r="Y34" i="6"/>
  <c r="AF34" i="6"/>
  <c r="AD34" i="6"/>
  <c r="AC34" i="6"/>
  <c r="J34" i="6"/>
  <c r="AG34" i="6"/>
  <c r="AA34" i="6"/>
  <c r="I34" i="6"/>
  <c r="H34" i="6"/>
  <c r="L34" i="6"/>
  <c r="Z34" i="6"/>
  <c r="AH34" i="6"/>
  <c r="G34" i="6"/>
  <c r="AQ34" i="6" s="1"/>
  <c r="AR34" i="6" s="1"/>
  <c r="AS34" i="6" s="1"/>
  <c r="AT34" i="6" s="1"/>
  <c r="S34" i="6"/>
  <c r="W34" i="6"/>
  <c r="K34" i="6"/>
  <c r="R34" i="6"/>
  <c r="U34" i="6"/>
  <c r="V34" i="6"/>
  <c r="AB34" i="6"/>
  <c r="AE34" i="6"/>
  <c r="T34" i="6"/>
  <c r="X34" i="6"/>
  <c r="AD35" i="6"/>
  <c r="AG35" i="6"/>
  <c r="G35" i="6"/>
  <c r="AQ35" i="6" s="1"/>
  <c r="AC35" i="6"/>
  <c r="U35" i="6"/>
  <c r="V35" i="6"/>
  <c r="AB35" i="6"/>
  <c r="R35" i="6"/>
  <c r="AE35" i="6"/>
  <c r="T35" i="6"/>
  <c r="K35" i="6"/>
  <c r="H35" i="6"/>
  <c r="AF35" i="6"/>
  <c r="W35" i="6"/>
  <c r="I35" i="6"/>
  <c r="AA35" i="6"/>
  <c r="S35" i="6"/>
  <c r="J35" i="6"/>
  <c r="AH35" i="6"/>
  <c r="Y35" i="6"/>
  <c r="X35" i="6"/>
  <c r="Z35" i="6"/>
  <c r="L35" i="6"/>
  <c r="AC36" i="6"/>
  <c r="K36" i="6"/>
  <c r="L36" i="6"/>
  <c r="AA36" i="6"/>
  <c r="R36" i="6"/>
  <c r="H36" i="6"/>
  <c r="S36" i="6"/>
  <c r="G36" i="6"/>
  <c r="AQ36" i="6" s="1"/>
  <c r="AR36" i="6" s="1"/>
  <c r="AE36" i="6"/>
  <c r="V36" i="6"/>
  <c r="AG36" i="6"/>
  <c r="AF36" i="6"/>
  <c r="U36" i="6"/>
  <c r="X36" i="6"/>
  <c r="Y36" i="6"/>
  <c r="Z36" i="6"/>
  <c r="AH36" i="6"/>
  <c r="I36" i="6"/>
  <c r="AB36" i="6"/>
  <c r="T36" i="6"/>
  <c r="AD36" i="6"/>
  <c r="W36" i="6"/>
  <c r="J36" i="6"/>
  <c r="U37" i="6"/>
  <c r="AG37" i="6"/>
  <c r="AC37" i="6"/>
  <c r="T37" i="6"/>
  <c r="R37" i="6"/>
  <c r="AD37" i="6"/>
  <c r="X37" i="6"/>
  <c r="G37" i="6"/>
  <c r="AQ37" i="6" s="1"/>
  <c r="AB37" i="6"/>
  <c r="W37" i="6"/>
  <c r="Y37" i="6"/>
  <c r="AE37" i="6"/>
  <c r="H37" i="6"/>
  <c r="Z37" i="6"/>
  <c r="J37" i="6"/>
  <c r="S37" i="6"/>
  <c r="I37" i="6"/>
  <c r="K37" i="6"/>
  <c r="AF37" i="6"/>
  <c r="AA37" i="6"/>
  <c r="AH37" i="6"/>
  <c r="L37" i="6"/>
  <c r="V37" i="6"/>
  <c r="AC38" i="6"/>
  <c r="Z38" i="6"/>
  <c r="W38" i="6"/>
  <c r="U38" i="6"/>
  <c r="K38" i="6"/>
  <c r="H38" i="6"/>
  <c r="AB38" i="6"/>
  <c r="G38" i="6"/>
  <c r="AQ38" i="6" s="1"/>
  <c r="AR38" i="6" s="1"/>
  <c r="AF38" i="6"/>
  <c r="T38" i="6"/>
  <c r="I38" i="6"/>
  <c r="AA38" i="6"/>
  <c r="L38" i="6"/>
  <c r="AH38" i="6"/>
  <c r="X38" i="6"/>
  <c r="Y38" i="6"/>
  <c r="AD38" i="6"/>
  <c r="AE38" i="6"/>
  <c r="R38" i="6"/>
  <c r="J38" i="6"/>
  <c r="AG38" i="6"/>
  <c r="S38" i="6"/>
  <c r="V38" i="6"/>
  <c r="X39" i="6"/>
  <c r="AG39" i="6"/>
  <c r="AB39" i="6"/>
  <c r="I39" i="6"/>
  <c r="AD39" i="6"/>
  <c r="G39" i="6"/>
  <c r="AQ39" i="6" s="1"/>
  <c r="S39" i="6"/>
  <c r="H39" i="6"/>
  <c r="AA39" i="6"/>
  <c r="AE39" i="6"/>
  <c r="K39" i="6"/>
  <c r="U39" i="6"/>
  <c r="AF39" i="6"/>
  <c r="W39" i="6"/>
  <c r="T39" i="6"/>
  <c r="AH39" i="6"/>
  <c r="J39" i="6"/>
  <c r="AC39" i="6"/>
  <c r="R39" i="6"/>
  <c r="Z39" i="6"/>
  <c r="L39" i="6"/>
  <c r="Y39" i="6"/>
  <c r="V39" i="6"/>
  <c r="AF40" i="6"/>
  <c r="AG40" i="6"/>
  <c r="J40" i="6"/>
  <c r="Y40" i="6"/>
  <c r="I40" i="6"/>
  <c r="AA40" i="6"/>
  <c r="H40" i="6"/>
  <c r="K40" i="6"/>
  <c r="U40" i="6"/>
  <c r="T40" i="6"/>
  <c r="AE40" i="6"/>
  <c r="L40" i="6"/>
  <c r="AH40" i="6"/>
  <c r="S40" i="6"/>
  <c r="X40" i="6"/>
  <c r="R40" i="6"/>
  <c r="G40" i="6"/>
  <c r="AQ40" i="6" s="1"/>
  <c r="AR40" i="6" s="1"/>
  <c r="AS40" i="6" s="1"/>
  <c r="AT40" i="6" s="1"/>
  <c r="AU40" i="6" s="1"/>
  <c r="AV40" i="6" s="1"/>
  <c r="AW40" i="6" s="1"/>
  <c r="AX40" i="6" s="1"/>
  <c r="AY40" i="6" s="1"/>
  <c r="AZ40" i="6" s="1"/>
  <c r="BA40" i="6" s="1"/>
  <c r="BB40" i="6" s="1"/>
  <c r="BC40" i="6" s="1"/>
  <c r="BD40" i="6" s="1"/>
  <c r="BE40" i="6" s="1"/>
  <c r="Z40" i="6"/>
  <c r="AC40" i="6"/>
  <c r="W40" i="6"/>
  <c r="AB40" i="6"/>
  <c r="AD40" i="6"/>
  <c r="V40" i="6"/>
  <c r="R41" i="6"/>
  <c r="X41" i="6"/>
  <c r="J41" i="6"/>
  <c r="I41" i="6"/>
  <c r="Z41" i="6"/>
  <c r="T41" i="6"/>
  <c r="Y41" i="6"/>
  <c r="AH41" i="6"/>
  <c r="AA41" i="6"/>
  <c r="W41" i="6"/>
  <c r="K41" i="6"/>
  <c r="AE41" i="6"/>
  <c r="G41" i="6"/>
  <c r="AQ41" i="6" s="1"/>
  <c r="AR41" i="6" s="1"/>
  <c r="AS41" i="6" s="1"/>
  <c r="AT41" i="6" s="1"/>
  <c r="AU41" i="6" s="1"/>
  <c r="AV41" i="6" s="1"/>
  <c r="AW41" i="6" s="1"/>
  <c r="AX41" i="6" s="1"/>
  <c r="AY41" i="6" s="1"/>
  <c r="AZ41" i="6" s="1"/>
  <c r="BA41" i="6" s="1"/>
  <c r="BB41" i="6" s="1"/>
  <c r="BC41" i="6" s="1"/>
  <c r="BD41" i="6" s="1"/>
  <c r="BE41" i="6" s="1"/>
  <c r="BF41" i="6" s="1"/>
  <c r="BG41" i="6" s="1"/>
  <c r="BH41" i="6" s="1"/>
  <c r="BI41" i="6" s="1"/>
  <c r="BJ41" i="6" s="1"/>
  <c r="BK41" i="6" s="1"/>
  <c r="BL41" i="6" s="1"/>
  <c r="BM41" i="6" s="1"/>
  <c r="BN41" i="6" s="1"/>
  <c r="BO41" i="6" s="1"/>
  <c r="BP41" i="6" s="1"/>
  <c r="BQ41" i="6" s="1"/>
  <c r="BR41" i="6" s="1"/>
  <c r="BS41" i="6" s="1"/>
  <c r="BT41" i="6" s="1"/>
  <c r="AF41" i="6"/>
  <c r="L41" i="6"/>
  <c r="S41" i="6"/>
  <c r="H41" i="6"/>
  <c r="AC41" i="6"/>
  <c r="AD41" i="6"/>
  <c r="AB41" i="6"/>
  <c r="AG41" i="6"/>
  <c r="U41" i="6"/>
  <c r="V41" i="6"/>
  <c r="W42" i="6"/>
  <c r="Z42" i="6"/>
  <c r="R42" i="6"/>
  <c r="Y42" i="6"/>
  <c r="L42" i="6"/>
  <c r="AB42" i="6"/>
  <c r="AE42" i="6"/>
  <c r="G42" i="6"/>
  <c r="AQ42" i="6" s="1"/>
  <c r="X42" i="6"/>
  <c r="AC42" i="6"/>
  <c r="U42" i="6"/>
  <c r="T42" i="6"/>
  <c r="AH42" i="6"/>
  <c r="AD42" i="6"/>
  <c r="I42" i="6"/>
  <c r="K42" i="6"/>
  <c r="AF42" i="6"/>
  <c r="V42" i="6"/>
  <c r="AA42" i="6"/>
  <c r="H42" i="6"/>
  <c r="AG42" i="6"/>
  <c r="S42" i="6"/>
  <c r="J42" i="6"/>
  <c r="AC43" i="6"/>
  <c r="X43" i="6"/>
  <c r="K43" i="6"/>
  <c r="I43" i="6"/>
  <c r="AA43" i="6"/>
  <c r="AE43" i="6"/>
  <c r="Z43" i="6"/>
  <c r="AD43" i="6"/>
  <c r="J43" i="6"/>
  <c r="V43" i="6"/>
  <c r="R43" i="6"/>
  <c r="AF43" i="6"/>
  <c r="AH43" i="6"/>
  <c r="G43" i="6"/>
  <c r="AQ43" i="6" s="1"/>
  <c r="L43" i="6"/>
  <c r="AB43" i="6"/>
  <c r="T43" i="6"/>
  <c r="H43" i="6"/>
  <c r="Y43" i="6"/>
  <c r="AG43" i="6"/>
  <c r="U43" i="6"/>
  <c r="W43" i="6"/>
  <c r="S43" i="6"/>
  <c r="S44" i="6"/>
  <c r="AC44" i="6"/>
  <c r="K44" i="6"/>
  <c r="V44" i="6"/>
  <c r="R44" i="6"/>
  <c r="AB44" i="6"/>
  <c r="W44" i="6"/>
  <c r="AA44" i="6"/>
  <c r="AG44" i="6"/>
  <c r="Y44" i="6"/>
  <c r="AF44" i="6"/>
  <c r="X44" i="6"/>
  <c r="G44" i="6"/>
  <c r="AQ44" i="6" s="1"/>
  <c r="H44" i="6"/>
  <c r="I44" i="6"/>
  <c r="J44" i="6"/>
  <c r="T44" i="6"/>
  <c r="Z44" i="6"/>
  <c r="L44" i="6"/>
  <c r="AE44" i="6"/>
  <c r="AH44" i="6"/>
  <c r="AD44" i="6"/>
  <c r="U44" i="6"/>
  <c r="S45" i="6"/>
  <c r="AG45" i="6"/>
  <c r="Y45" i="6"/>
  <c r="I45" i="6"/>
  <c r="AA45" i="6"/>
  <c r="J45" i="6"/>
  <c r="L45" i="6"/>
  <c r="R45" i="6"/>
  <c r="AF45" i="6"/>
  <c r="AH45" i="6"/>
  <c r="G45" i="6"/>
  <c r="AQ45" i="6" s="1"/>
  <c r="AD45" i="6"/>
  <c r="T45" i="6"/>
  <c r="K45" i="6"/>
  <c r="U45" i="6"/>
  <c r="AE45" i="6"/>
  <c r="AC45" i="6"/>
  <c r="Z45" i="6"/>
  <c r="W45" i="6"/>
  <c r="AB45" i="6"/>
  <c r="H45" i="6"/>
  <c r="X45" i="6"/>
  <c r="V45" i="6"/>
  <c r="S46" i="6"/>
  <c r="K46" i="6"/>
  <c r="H46" i="6"/>
  <c r="R46" i="6"/>
  <c r="Y46" i="6"/>
  <c r="U46" i="6"/>
  <c r="AC46" i="6"/>
  <c r="AF46" i="6"/>
  <c r="V46" i="6"/>
  <c r="W46" i="6"/>
  <c r="AG46" i="6"/>
  <c r="AB46" i="6"/>
  <c r="J46" i="6"/>
  <c r="AD46" i="6"/>
  <c r="G46" i="6"/>
  <c r="AQ46" i="6" s="1"/>
  <c r="AR46" i="6" s="1"/>
  <c r="T46" i="6"/>
  <c r="AE46" i="6"/>
  <c r="Z46" i="6"/>
  <c r="AA46" i="6"/>
  <c r="L46" i="6"/>
  <c r="X46" i="6"/>
  <c r="I46" i="6"/>
  <c r="AH46" i="6"/>
  <c r="AF47" i="6"/>
  <c r="W47" i="6"/>
  <c r="H47" i="6"/>
  <c r="AE47" i="6"/>
  <c r="J47" i="6"/>
  <c r="U47" i="6"/>
  <c r="S47" i="6"/>
  <c r="AB47" i="6"/>
  <c r="R47" i="6"/>
  <c r="L47" i="6"/>
  <c r="V47" i="6"/>
  <c r="AH47" i="6"/>
  <c r="K47" i="6"/>
  <c r="AA47" i="6"/>
  <c r="Z47" i="6"/>
  <c r="G47" i="6"/>
  <c r="AQ47" i="6" s="1"/>
  <c r="AR47" i="6" s="1"/>
  <c r="X47" i="6"/>
  <c r="AD47" i="6"/>
  <c r="T47" i="6"/>
  <c r="AG47" i="6"/>
  <c r="I47" i="6"/>
  <c r="Y47" i="6"/>
  <c r="AC47" i="6"/>
  <c r="J48" i="6"/>
  <c r="AG48" i="6"/>
  <c r="AB48" i="6"/>
  <c r="V48" i="6"/>
  <c r="AE48" i="6"/>
  <c r="R48" i="6"/>
  <c r="AD48" i="6"/>
  <c r="G48" i="6"/>
  <c r="AQ48" i="6" s="1"/>
  <c r="S48" i="6"/>
  <c r="AH48" i="6"/>
  <c r="I48" i="6"/>
  <c r="U48" i="6"/>
  <c r="X48" i="6"/>
  <c r="H48" i="6"/>
  <c r="K48" i="6"/>
  <c r="W48" i="6"/>
  <c r="T48" i="6"/>
  <c r="L48" i="6"/>
  <c r="Y48" i="6"/>
  <c r="AA48" i="6"/>
  <c r="AF48" i="6"/>
  <c r="AC48" i="6"/>
  <c r="Z48" i="6"/>
  <c r="J49" i="6"/>
  <c r="AD49" i="6"/>
  <c r="AB49" i="6"/>
  <c r="I49" i="6"/>
  <c r="AA49" i="6"/>
  <c r="R49" i="6"/>
  <c r="K49" i="6"/>
  <c r="H49" i="6"/>
  <c r="W49" i="6"/>
  <c r="S49" i="6"/>
  <c r="AH49" i="6"/>
  <c r="U49" i="6"/>
  <c r="Y49" i="6"/>
  <c r="AG49" i="6"/>
  <c r="L49" i="6"/>
  <c r="X49" i="6"/>
  <c r="Z49" i="6"/>
  <c r="V49" i="6"/>
  <c r="G49" i="6"/>
  <c r="AQ49" i="6" s="1"/>
  <c r="AR49" i="6" s="1"/>
  <c r="AS49" i="6" s="1"/>
  <c r="AT49" i="6" s="1"/>
  <c r="AU49" i="6" s="1"/>
  <c r="AV49" i="6" s="1"/>
  <c r="AW49" i="6" s="1"/>
  <c r="AX49" i="6" s="1"/>
  <c r="AY49" i="6" s="1"/>
  <c r="AZ49" i="6" s="1"/>
  <c r="BA49" i="6" s="1"/>
  <c r="BB49" i="6" s="1"/>
  <c r="BC49" i="6" s="1"/>
  <c r="AE49" i="6"/>
  <c r="AF49" i="6"/>
  <c r="AC49" i="6"/>
  <c r="T49" i="6"/>
  <c r="AH50" i="6"/>
  <c r="W50" i="6"/>
  <c r="AA50" i="6"/>
  <c r="H50" i="6"/>
  <c r="AD50" i="6"/>
  <c r="AG50" i="6"/>
  <c r="G50" i="6"/>
  <c r="AQ50" i="6" s="1"/>
  <c r="AR50" i="6" s="1"/>
  <c r="R50" i="6"/>
  <c r="L50" i="6"/>
  <c r="AB50" i="6"/>
  <c r="U50" i="6"/>
  <c r="I50" i="6"/>
  <c r="AE50" i="6"/>
  <c r="J50" i="6"/>
  <c r="Z50" i="6"/>
  <c r="AF50" i="6"/>
  <c r="K50" i="6"/>
  <c r="V50" i="6"/>
  <c r="AC50" i="6"/>
  <c r="S50" i="6"/>
  <c r="T50" i="6"/>
  <c r="Y50" i="6"/>
  <c r="X50" i="6"/>
  <c r="AG51" i="6"/>
  <c r="H51" i="6"/>
  <c r="AH51" i="6"/>
  <c r="G51" i="6"/>
  <c r="AQ51" i="6" s="1"/>
  <c r="AR51" i="6" s="1"/>
  <c r="Z51" i="6"/>
  <c r="AB51" i="6"/>
  <c r="L51" i="6"/>
  <c r="V51" i="6"/>
  <c r="W51" i="6"/>
  <c r="AF51" i="6"/>
  <c r="K51" i="6"/>
  <c r="Y51" i="6"/>
  <c r="AD51" i="6"/>
  <c r="S51" i="6"/>
  <c r="U51" i="6"/>
  <c r="T51" i="6"/>
  <c r="AA51" i="6"/>
  <c r="AC51" i="6"/>
  <c r="AE51" i="6"/>
  <c r="R51" i="6"/>
  <c r="J51" i="6"/>
  <c r="X51" i="6"/>
  <c r="I51" i="6"/>
  <c r="S52" i="6"/>
  <c r="H52" i="6"/>
  <c r="R52" i="6"/>
  <c r="X52" i="6"/>
  <c r="AG52" i="6"/>
  <c r="AE52" i="6"/>
  <c r="J52" i="6"/>
  <c r="W52" i="6"/>
  <c r="Y52" i="6"/>
  <c r="AD52" i="6"/>
  <c r="I52" i="6"/>
  <c r="V52" i="6"/>
  <c r="Z52" i="6"/>
  <c r="G52" i="6"/>
  <c r="AQ52" i="6" s="1"/>
  <c r="AR52" i="6" s="1"/>
  <c r="AS52" i="6" s="1"/>
  <c r="AT52" i="6" s="1"/>
  <c r="U52" i="6"/>
  <c r="AB52" i="6"/>
  <c r="AH52" i="6"/>
  <c r="T52" i="6"/>
  <c r="AA52" i="6"/>
  <c r="AF52" i="6"/>
  <c r="K52" i="6"/>
  <c r="AC52" i="6"/>
  <c r="L52" i="6"/>
  <c r="H53" i="6"/>
  <c r="W53" i="6"/>
  <c r="S53" i="6"/>
  <c r="R53" i="6"/>
  <c r="J53" i="6"/>
  <c r="I53" i="6"/>
  <c r="G53" i="6"/>
  <c r="AQ53" i="6" s="1"/>
  <c r="AR53" i="6" s="1"/>
  <c r="AS53" i="6" s="1"/>
  <c r="AT53" i="6" s="1"/>
  <c r="Y53" i="6"/>
  <c r="AE53" i="6"/>
  <c r="K53" i="6"/>
  <c r="V53" i="6"/>
  <c r="AA53" i="6"/>
  <c r="AB53" i="6"/>
  <c r="Z53" i="6"/>
  <c r="T53" i="6"/>
  <c r="AF53" i="6"/>
  <c r="AG53" i="6"/>
  <c r="X53" i="6"/>
  <c r="AD53" i="6"/>
  <c r="U53" i="6"/>
  <c r="L53" i="6"/>
  <c r="AH53" i="6"/>
  <c r="AC53" i="6"/>
  <c r="I54" i="6"/>
  <c r="G54" i="6"/>
  <c r="AQ54" i="6" s="1"/>
  <c r="AE54" i="6"/>
  <c r="AA54" i="6"/>
  <c r="S54" i="6"/>
  <c r="AG54" i="6"/>
  <c r="Z54" i="6"/>
  <c r="AF54" i="6"/>
  <c r="L54" i="6"/>
  <c r="T54" i="6"/>
  <c r="AB54" i="6"/>
  <c r="V54" i="6"/>
  <c r="W54" i="6"/>
  <c r="AD54" i="6"/>
  <c r="AC54" i="6"/>
  <c r="U54" i="6"/>
  <c r="X54" i="6"/>
  <c r="K54" i="6"/>
  <c r="Y54" i="6"/>
  <c r="AH54" i="6"/>
  <c r="H54" i="6"/>
  <c r="R54" i="6"/>
  <c r="J54" i="6"/>
  <c r="S55" i="6"/>
  <c r="AD55" i="6"/>
  <c r="V55" i="6"/>
  <c r="U55" i="6"/>
  <c r="W55" i="6"/>
  <c r="X55" i="6"/>
  <c r="AA55" i="6"/>
  <c r="AC55" i="6"/>
  <c r="Z55" i="6"/>
  <c r="T55" i="6"/>
  <c r="AG55" i="6"/>
  <c r="R55" i="6"/>
  <c r="AE55" i="6"/>
  <c r="K55" i="6"/>
  <c r="Y55" i="6"/>
  <c r="G55" i="6"/>
  <c r="AQ55" i="6" s="1"/>
  <c r="I55" i="6"/>
  <c r="H55" i="6"/>
  <c r="AH55" i="6"/>
  <c r="AB55" i="6"/>
  <c r="L55" i="6"/>
  <c r="J55" i="6"/>
  <c r="AF55" i="6"/>
  <c r="V56" i="6"/>
  <c r="AD56" i="6"/>
  <c r="K56" i="6"/>
  <c r="Y56" i="6"/>
  <c r="U56" i="6"/>
  <c r="AB56" i="6"/>
  <c r="S56" i="6"/>
  <c r="R56" i="6"/>
  <c r="AC56" i="6"/>
  <c r="H56" i="6"/>
  <c r="W56" i="6"/>
  <c r="AH56" i="6"/>
  <c r="T56" i="6"/>
  <c r="AE56" i="6"/>
  <c r="G56" i="6"/>
  <c r="AQ56" i="6" s="1"/>
  <c r="AR56" i="6" s="1"/>
  <c r="AG56" i="6"/>
  <c r="I56" i="6"/>
  <c r="AF56" i="6"/>
  <c r="X56" i="6"/>
  <c r="J56" i="6"/>
  <c r="Z56" i="6"/>
  <c r="AA56" i="6"/>
  <c r="L56" i="6"/>
  <c r="AG57" i="6"/>
  <c r="AF57" i="6"/>
  <c r="AE57" i="6"/>
  <c r="AD57" i="6"/>
  <c r="AC57" i="6"/>
  <c r="AB57" i="6"/>
  <c r="AA57" i="6"/>
  <c r="Z57" i="6"/>
  <c r="L57" i="6"/>
  <c r="Y57" i="6"/>
  <c r="X57" i="6"/>
  <c r="W57" i="6"/>
  <c r="V57" i="6"/>
  <c r="U57" i="6"/>
  <c r="T57" i="6"/>
  <c r="S57" i="6"/>
  <c r="R57" i="6"/>
  <c r="K57" i="6"/>
  <c r="J57" i="6"/>
  <c r="I57" i="6"/>
  <c r="H57" i="6"/>
  <c r="G57" i="6"/>
  <c r="AQ57" i="6" s="1"/>
  <c r="AR57" i="6" s="1"/>
  <c r="AS57" i="6" s="1"/>
  <c r="AT57" i="6" s="1"/>
  <c r="AU57" i="6" s="1"/>
  <c r="AV57" i="6" s="1"/>
  <c r="AW57" i="6" s="1"/>
  <c r="AX57" i="6" s="1"/>
  <c r="AY57" i="6" s="1"/>
  <c r="AZ57" i="6" s="1"/>
  <c r="BA57" i="6" s="1"/>
  <c r="BB57" i="6" s="1"/>
  <c r="BC57" i="6" s="1"/>
  <c r="BD57" i="6" s="1"/>
  <c r="BE57" i="6" s="1"/>
  <c r="BF57" i="6" s="1"/>
  <c r="BG57" i="6" s="1"/>
  <c r="BH57" i="6" s="1"/>
  <c r="BI57" i="6" s="1"/>
  <c r="BJ57" i="6" s="1"/>
  <c r="BK57" i="6" s="1"/>
  <c r="BL57" i="6" s="1"/>
  <c r="BM57" i="6" s="1"/>
  <c r="BN57" i="6" s="1"/>
  <c r="BO57" i="6" s="1"/>
  <c r="BP57" i="6" s="1"/>
  <c r="BQ57" i="6" s="1"/>
  <c r="AH57" i="6"/>
  <c r="I58" i="6"/>
  <c r="AC58" i="6"/>
  <c r="L58" i="6"/>
  <c r="W58" i="6"/>
  <c r="H58" i="6"/>
  <c r="X58" i="6"/>
  <c r="Z58" i="6"/>
  <c r="G58" i="6"/>
  <c r="AQ58" i="6" s="1"/>
  <c r="AR58" i="6" s="1"/>
  <c r="AS58" i="6" s="1"/>
  <c r="AA58" i="6"/>
  <c r="AG58" i="6"/>
  <c r="AE58" i="6"/>
  <c r="K58" i="6"/>
  <c r="J58" i="6"/>
  <c r="V58" i="6"/>
  <c r="AF58" i="6"/>
  <c r="U58" i="6"/>
  <c r="T58" i="6"/>
  <c r="S58" i="6"/>
  <c r="AB58" i="6"/>
  <c r="AH58" i="6"/>
  <c r="Y58" i="6"/>
  <c r="AD58" i="6"/>
  <c r="R58" i="6"/>
  <c r="AA59" i="6"/>
  <c r="AE59" i="6"/>
  <c r="X59" i="6"/>
  <c r="Z59" i="6"/>
  <c r="V59" i="6"/>
  <c r="K59" i="6"/>
  <c r="J59" i="6"/>
  <c r="AB59" i="6"/>
  <c r="AH59" i="6"/>
  <c r="T59" i="6"/>
  <c r="U59" i="6"/>
  <c r="H59" i="6"/>
  <c r="I59" i="6"/>
  <c r="AD59" i="6"/>
  <c r="L59" i="6"/>
  <c r="S59" i="6"/>
  <c r="R59" i="6"/>
  <c r="W59" i="6"/>
  <c r="Y59" i="6"/>
  <c r="AG59" i="6"/>
  <c r="G59" i="6"/>
  <c r="AQ59" i="6" s="1"/>
  <c r="AR59" i="6" s="1"/>
  <c r="AS59" i="6" s="1"/>
  <c r="AT59" i="6" s="1"/>
  <c r="AU59" i="6" s="1"/>
  <c r="AV59" i="6" s="1"/>
  <c r="AW59" i="6" s="1"/>
  <c r="AX59" i="6" s="1"/>
  <c r="AY59" i="6" s="1"/>
  <c r="AZ59" i="6" s="1"/>
  <c r="BA59" i="6" s="1"/>
  <c r="BB59" i="6" s="1"/>
  <c r="BC59" i="6" s="1"/>
  <c r="BD59" i="6" s="1"/>
  <c r="BE59" i="6" s="1"/>
  <c r="BF59" i="6" s="1"/>
  <c r="BG59" i="6" s="1"/>
  <c r="BH59" i="6" s="1"/>
  <c r="BI59" i="6" s="1"/>
  <c r="BJ59" i="6" s="1"/>
  <c r="BK59" i="6" s="1"/>
  <c r="BL59" i="6" s="1"/>
  <c r="AF59" i="6"/>
  <c r="AC59" i="6"/>
  <c r="W60" i="6"/>
  <c r="H60" i="6"/>
  <c r="AA60" i="6"/>
  <c r="AF60" i="6"/>
  <c r="AG60" i="6"/>
  <c r="U60" i="6"/>
  <c r="AC60" i="6"/>
  <c r="V60" i="6"/>
  <c r="Y60" i="6"/>
  <c r="AE60" i="6"/>
  <c r="K60" i="6"/>
  <c r="X60" i="6"/>
  <c r="Z60" i="6"/>
  <c r="AB60" i="6"/>
  <c r="AH60" i="6"/>
  <c r="S60" i="6"/>
  <c r="L60" i="6"/>
  <c r="I60" i="6"/>
  <c r="AI60" i="6"/>
  <c r="G60" i="6"/>
  <c r="AQ60" i="6" s="1"/>
  <c r="AR60" i="6" s="1"/>
  <c r="AS60" i="6" s="1"/>
  <c r="J60" i="6"/>
  <c r="R60" i="6"/>
  <c r="T60" i="6"/>
  <c r="AD60" i="6"/>
  <c r="AE61" i="6"/>
  <c r="J61" i="6"/>
  <c r="X61" i="6"/>
  <c r="G61" i="6"/>
  <c r="AQ61" i="6" s="1"/>
  <c r="AG61" i="6"/>
  <c r="U61" i="6"/>
  <c r="W61" i="6"/>
  <c r="L61" i="6"/>
  <c r="AF61" i="6"/>
  <c r="S61" i="6"/>
  <c r="AI61" i="6"/>
  <c r="Y61" i="6"/>
  <c r="T61" i="6"/>
  <c r="H61" i="6"/>
  <c r="AC61" i="6"/>
  <c r="AA61" i="6"/>
  <c r="AB61" i="6"/>
  <c r="AD61" i="6"/>
  <c r="Z61" i="6"/>
  <c r="R61" i="6"/>
  <c r="AH61" i="6"/>
  <c r="V61" i="6"/>
  <c r="I61" i="6"/>
  <c r="K61" i="6"/>
  <c r="X62" i="6"/>
  <c r="Z62" i="6"/>
  <c r="AD62" i="6"/>
  <c r="AH62" i="6"/>
  <c r="AB62" i="6"/>
  <c r="G62" i="6"/>
  <c r="AQ62" i="6" s="1"/>
  <c r="W62" i="6"/>
  <c r="AA62" i="6"/>
  <c r="AC62" i="6"/>
  <c r="V62" i="6"/>
  <c r="AF62" i="6"/>
  <c r="H62" i="6"/>
  <c r="K62" i="6"/>
  <c r="R62" i="6"/>
  <c r="Y62" i="6"/>
  <c r="J62" i="6"/>
  <c r="S62" i="6"/>
  <c r="AI62" i="6"/>
  <c r="AE62" i="6"/>
  <c r="L62" i="6"/>
  <c r="U62" i="6"/>
  <c r="AG62" i="6"/>
  <c r="I62" i="6"/>
  <c r="T62" i="6"/>
  <c r="Z63" i="6"/>
  <c r="AE63" i="6"/>
  <c r="J63" i="6"/>
  <c r="L63" i="6"/>
  <c r="AB63" i="6"/>
  <c r="R63" i="6"/>
  <c r="K63" i="6"/>
  <c r="AI63" i="6"/>
  <c r="U63" i="6"/>
  <c r="AH63" i="6"/>
  <c r="W63" i="6"/>
  <c r="Y63" i="6"/>
  <c r="G63" i="6"/>
  <c r="AQ63" i="6" s="1"/>
  <c r="T63" i="6"/>
  <c r="I63" i="6"/>
  <c r="X63" i="6"/>
  <c r="AG63" i="6"/>
  <c r="AC63" i="6"/>
  <c r="AA63" i="6"/>
  <c r="AD63" i="6"/>
  <c r="S63" i="6"/>
  <c r="V63" i="6"/>
  <c r="H63" i="6"/>
  <c r="AF63" i="6"/>
  <c r="AB64" i="6"/>
  <c r="J64" i="6"/>
  <c r="Y64" i="6"/>
  <c r="H64" i="6"/>
  <c r="K64" i="6"/>
  <c r="AC64" i="6"/>
  <c r="R64" i="6"/>
  <c r="U64" i="6"/>
  <c r="AG64" i="6"/>
  <c r="AA64" i="6"/>
  <c r="I64" i="6"/>
  <c r="T64" i="6"/>
  <c r="W64" i="6"/>
  <c r="L64" i="6"/>
  <c r="S64" i="6"/>
  <c r="AH64" i="6"/>
  <c r="X64" i="6"/>
  <c r="Z64" i="6"/>
  <c r="AI64" i="6"/>
  <c r="AD64" i="6"/>
  <c r="G64" i="6"/>
  <c r="AQ64" i="6" s="1"/>
  <c r="AR64" i="6" s="1"/>
  <c r="AS64" i="6" s="1"/>
  <c r="AT64" i="6" s="1"/>
  <c r="AU64" i="6" s="1"/>
  <c r="AV64" i="6" s="1"/>
  <c r="AW64" i="6" s="1"/>
  <c r="AX64" i="6" s="1"/>
  <c r="AY64" i="6" s="1"/>
  <c r="AZ64" i="6" s="1"/>
  <c r="BA64" i="6" s="1"/>
  <c r="BB64" i="6" s="1"/>
  <c r="BC64" i="6" s="1"/>
  <c r="BD64" i="6" s="1"/>
  <c r="BE64" i="6" s="1"/>
  <c r="V64" i="6"/>
  <c r="AE64" i="6"/>
  <c r="AF64" i="6"/>
  <c r="H65" i="6"/>
  <c r="Z65" i="6"/>
  <c r="K65" i="6"/>
  <c r="AB65" i="6"/>
  <c r="W65" i="6"/>
  <c r="AD65" i="6"/>
  <c r="R65" i="6"/>
  <c r="U65" i="6"/>
  <c r="S65" i="6"/>
  <c r="Y65" i="6"/>
  <c r="J65" i="6"/>
  <c r="L65" i="6"/>
  <c r="AH65" i="6"/>
  <c r="AG65" i="6"/>
  <c r="V65" i="6"/>
  <c r="AI65" i="6"/>
  <c r="G65" i="6"/>
  <c r="AQ65" i="6" s="1"/>
  <c r="AR65" i="6" s="1"/>
  <c r="I65" i="6"/>
  <c r="AC65" i="6"/>
  <c r="X65" i="6"/>
  <c r="AF65" i="6"/>
  <c r="AE65" i="6"/>
  <c r="T65" i="6"/>
  <c r="AA65" i="6"/>
  <c r="R66" i="6"/>
  <c r="K66" i="6"/>
  <c r="J66" i="6"/>
  <c r="S66" i="6"/>
  <c r="AC66" i="6"/>
  <c r="V66" i="6"/>
  <c r="AB66" i="6"/>
  <c r="I66" i="6"/>
  <c r="H66" i="6"/>
  <c r="U66" i="6"/>
  <c r="AG66" i="6"/>
  <c r="AF66" i="6"/>
  <c r="AE66" i="6"/>
  <c r="AH66" i="6"/>
  <c r="Y66" i="6"/>
  <c r="W66" i="6"/>
  <c r="Z66" i="6"/>
  <c r="AA66" i="6"/>
  <c r="AD66" i="6"/>
  <c r="X66" i="6"/>
  <c r="G66" i="6"/>
  <c r="AQ66" i="6" s="1"/>
  <c r="AR66" i="6" s="1"/>
  <c r="AS66" i="6" s="1"/>
  <c r="AT66" i="6" s="1"/>
  <c r="AU66" i="6" s="1"/>
  <c r="AI66" i="6"/>
  <c r="L66" i="6"/>
  <c r="T66" i="6"/>
  <c r="Z67" i="6"/>
  <c r="AD67" i="6"/>
  <c r="I67" i="6"/>
  <c r="H67" i="6"/>
  <c r="AH67" i="6"/>
  <c r="T67" i="6"/>
  <c r="AG67" i="6"/>
  <c r="AE67" i="6"/>
  <c r="S67" i="6"/>
  <c r="R67" i="6"/>
  <c r="X67" i="6"/>
  <c r="AA67" i="6"/>
  <c r="AB67" i="6"/>
  <c r="W67" i="6"/>
  <c r="AC67" i="6"/>
  <c r="V67" i="6"/>
  <c r="K67" i="6"/>
  <c r="AF67" i="6"/>
  <c r="Y67" i="6"/>
  <c r="J67" i="6"/>
  <c r="AI67" i="6"/>
  <c r="U67" i="6"/>
  <c r="L67" i="6"/>
  <c r="G67" i="6"/>
  <c r="AQ67" i="6" s="1"/>
  <c r="AR67" i="6" s="1"/>
  <c r="AS67" i="6" s="1"/>
  <c r="AT67" i="6" s="1"/>
  <c r="AU67" i="6" s="1"/>
  <c r="AV67" i="6" s="1"/>
  <c r="AW67" i="6" s="1"/>
  <c r="AX67" i="6" s="1"/>
  <c r="AY67" i="6" s="1"/>
  <c r="AZ67" i="6" s="1"/>
  <c r="BA67" i="6" s="1"/>
  <c r="BB67" i="6" s="1"/>
  <c r="BC67" i="6" s="1"/>
  <c r="BD67" i="6" s="1"/>
  <c r="BE67" i="6" s="1"/>
  <c r="BF67" i="6" s="1"/>
  <c r="BG67" i="6" s="1"/>
  <c r="BH67" i="6" s="1"/>
  <c r="BI67" i="6" s="1"/>
  <c r="BJ67" i="6" s="1"/>
  <c r="BK67" i="6" s="1"/>
  <c r="BL67" i="6" s="1"/>
  <c r="BM67" i="6" s="1"/>
  <c r="BN67" i="6" s="1"/>
  <c r="BO67" i="6" s="1"/>
  <c r="BP67" i="6" s="1"/>
  <c r="BQ67" i="6" s="1"/>
  <c r="BR67" i="6" s="1"/>
  <c r="BS67" i="6" s="1"/>
  <c r="BT67" i="6" s="1"/>
  <c r="Z68" i="6"/>
  <c r="AH68" i="6"/>
  <c r="I68" i="6"/>
  <c r="U68" i="6"/>
  <c r="AE68" i="6"/>
  <c r="X68" i="6"/>
  <c r="J68" i="6"/>
  <c r="W68" i="6"/>
  <c r="AF68" i="6"/>
  <c r="AA68" i="6"/>
  <c r="H68" i="6"/>
  <c r="AG68" i="6"/>
  <c r="AD68" i="6"/>
  <c r="AB68" i="6"/>
  <c r="AI68" i="6"/>
  <c r="R68" i="6"/>
  <c r="Y68" i="6"/>
  <c r="S68" i="6"/>
  <c r="T68" i="6"/>
  <c r="G68" i="6"/>
  <c r="AQ68" i="6" s="1"/>
  <c r="AR68" i="6" s="1"/>
  <c r="AS68" i="6" s="1"/>
  <c r="AT68" i="6" s="1"/>
  <c r="AU68" i="6" s="1"/>
  <c r="AV68" i="6" s="1"/>
  <c r="AW68" i="6" s="1"/>
  <c r="AX68" i="6" s="1"/>
  <c r="AY68" i="6" s="1"/>
  <c r="AZ68" i="6" s="1"/>
  <c r="BA68" i="6" s="1"/>
  <c r="BB68" i="6" s="1"/>
  <c r="BC68" i="6" s="1"/>
  <c r="BD68" i="6" s="1"/>
  <c r="BE68" i="6" s="1"/>
  <c r="BF68" i="6" s="1"/>
  <c r="BG68" i="6" s="1"/>
  <c r="BH68" i="6" s="1"/>
  <c r="BI68" i="6" s="1"/>
  <c r="BJ68" i="6" s="1"/>
  <c r="BK68" i="6" s="1"/>
  <c r="BL68" i="6" s="1"/>
  <c r="BM68" i="6" s="1"/>
  <c r="BN68" i="6" s="1"/>
  <c r="BO68" i="6" s="1"/>
  <c r="BP68" i="6" s="1"/>
  <c r="BQ68" i="6" s="1"/>
  <c r="BR68" i="6" s="1"/>
  <c r="BS68" i="6" s="1"/>
  <c r="BT68" i="6" s="1"/>
  <c r="K68" i="6"/>
  <c r="AC68" i="6"/>
  <c r="L68" i="6"/>
  <c r="V68" i="6"/>
  <c r="Z69" i="6"/>
  <c r="W69" i="6"/>
  <c r="R69" i="6"/>
  <c r="K69" i="6"/>
  <c r="J69" i="6"/>
  <c r="G69" i="6"/>
  <c r="AQ69" i="6" s="1"/>
  <c r="AB69" i="6"/>
  <c r="AG69" i="6"/>
  <c r="AD69" i="6"/>
  <c r="AH69" i="6"/>
  <c r="L69" i="6"/>
  <c r="AC69" i="6"/>
  <c r="V69" i="6"/>
  <c r="T69" i="6"/>
  <c r="AA69" i="6"/>
  <c r="AF69" i="6"/>
  <c r="X69" i="6"/>
  <c r="I69" i="6"/>
  <c r="AE69" i="6"/>
  <c r="Y69" i="6"/>
  <c r="S69" i="6"/>
  <c r="H69" i="6"/>
  <c r="AI69" i="6"/>
  <c r="U69" i="6"/>
  <c r="T70" i="6"/>
  <c r="AG70" i="6"/>
  <c r="AH70" i="6"/>
  <c r="AC70" i="6"/>
  <c r="AB70" i="6"/>
  <c r="AF70" i="6"/>
  <c r="AA70" i="6"/>
  <c r="S70" i="6"/>
  <c r="AI70" i="6"/>
  <c r="L70" i="6"/>
  <c r="J70" i="6"/>
  <c r="G70" i="6"/>
  <c r="AQ70" i="6" s="1"/>
  <c r="AR70" i="6" s="1"/>
  <c r="AS70" i="6" s="1"/>
  <c r="AT70" i="6" s="1"/>
  <c r="AU70" i="6" s="1"/>
  <c r="AV70" i="6" s="1"/>
  <c r="AW70" i="6" s="1"/>
  <c r="AX70" i="6" s="1"/>
  <c r="AY70" i="6" s="1"/>
  <c r="AZ70" i="6" s="1"/>
  <c r="BA70" i="6" s="1"/>
  <c r="BB70" i="6" s="1"/>
  <c r="BC70" i="6" s="1"/>
  <c r="BD70" i="6" s="1"/>
  <c r="BE70" i="6" s="1"/>
  <c r="BF70" i="6" s="1"/>
  <c r="BG70" i="6" s="1"/>
  <c r="BH70" i="6" s="1"/>
  <c r="BI70" i="6" s="1"/>
  <c r="BJ70" i="6" s="1"/>
  <c r="BK70" i="6" s="1"/>
  <c r="BL70" i="6" s="1"/>
  <c r="BM70" i="6" s="1"/>
  <c r="BN70" i="6" s="1"/>
  <c r="BO70" i="6" s="1"/>
  <c r="BP70" i="6" s="1"/>
  <c r="BQ70" i="6" s="1"/>
  <c r="BR70" i="6" s="1"/>
  <c r="BS70" i="6" s="1"/>
  <c r="BT70" i="6" s="1"/>
  <c r="K70" i="6"/>
  <c r="Z70" i="6"/>
  <c r="Y70" i="6"/>
  <c r="I70" i="6"/>
  <c r="R70" i="6"/>
  <c r="AD70" i="6"/>
  <c r="H70" i="6"/>
  <c r="V70" i="6"/>
  <c r="AE70" i="6"/>
  <c r="U70" i="6"/>
  <c r="X70" i="6"/>
  <c r="W70" i="6"/>
  <c r="Y71" i="6"/>
  <c r="G71" i="6"/>
  <c r="AQ71" i="6" s="1"/>
  <c r="L71" i="6"/>
  <c r="T71" i="6"/>
  <c r="AG71" i="6"/>
  <c r="AH71" i="6"/>
  <c r="S71" i="6"/>
  <c r="I71" i="6"/>
  <c r="U71" i="6"/>
  <c r="AD71" i="6"/>
  <c r="J71" i="6"/>
  <c r="AF71" i="6"/>
  <c r="AE71" i="6"/>
  <c r="AI71" i="6"/>
  <c r="H71" i="6"/>
  <c r="V71" i="6"/>
  <c r="X71" i="6"/>
  <c r="R71" i="6"/>
  <c r="AA71" i="6"/>
  <c r="AC71" i="6"/>
  <c r="AB71" i="6"/>
  <c r="K71" i="6"/>
  <c r="Z71" i="6"/>
  <c r="W71" i="6"/>
  <c r="X72" i="6"/>
  <c r="AE72" i="6"/>
  <c r="AF72" i="6"/>
  <c r="AB72" i="6"/>
  <c r="U72" i="6"/>
  <c r="J72" i="6"/>
  <c r="AH72" i="6"/>
  <c r="L72" i="6"/>
  <c r="H72" i="6"/>
  <c r="K72" i="6"/>
  <c r="W72" i="6"/>
  <c r="I72" i="6"/>
  <c r="AD72" i="6"/>
  <c r="AI72" i="6"/>
  <c r="AA72" i="6"/>
  <c r="S72" i="6"/>
  <c r="AG72" i="6"/>
  <c r="Y72" i="6"/>
  <c r="AC72" i="6"/>
  <c r="R72" i="6"/>
  <c r="Z72" i="6"/>
  <c r="G72" i="6"/>
  <c r="AQ72" i="6" s="1"/>
  <c r="AR72" i="6" s="1"/>
  <c r="AS72" i="6" s="1"/>
  <c r="AT72" i="6" s="1"/>
  <c r="AU72" i="6" s="1"/>
  <c r="AV72" i="6" s="1"/>
  <c r="AW72" i="6" s="1"/>
  <c r="AX72" i="6" s="1"/>
  <c r="AY72" i="6" s="1"/>
  <c r="AZ72" i="6" s="1"/>
  <c r="BA72" i="6" s="1"/>
  <c r="BB72" i="6" s="1"/>
  <c r="BC72" i="6" s="1"/>
  <c r="T72" i="6"/>
  <c r="V72" i="6"/>
  <c r="AD73" i="6"/>
  <c r="I73" i="6"/>
  <c r="W73" i="6"/>
  <c r="H73" i="6"/>
  <c r="U73" i="6"/>
  <c r="AG73" i="6"/>
  <c r="Y73" i="6"/>
  <c r="V73" i="6"/>
  <c r="AH73" i="6"/>
  <c r="X73" i="6"/>
  <c r="AA73" i="6"/>
  <c r="S73" i="6"/>
  <c r="AE73" i="6"/>
  <c r="T73" i="6"/>
  <c r="R73" i="6"/>
  <c r="L73" i="6"/>
  <c r="J73" i="6"/>
  <c r="AC73" i="6"/>
  <c r="AB73" i="6"/>
  <c r="G73" i="6"/>
  <c r="AQ73" i="6" s="1"/>
  <c r="AR73" i="6" s="1"/>
  <c r="AS73" i="6" s="1"/>
  <c r="AT73" i="6" s="1"/>
  <c r="Z73" i="6"/>
  <c r="AI73" i="6"/>
  <c r="AF73" i="6"/>
  <c r="K73" i="6"/>
  <c r="H74" i="6"/>
  <c r="AA74" i="6"/>
  <c r="AC74" i="6"/>
  <c r="AB74" i="6"/>
  <c r="T74" i="6"/>
  <c r="AE74" i="6"/>
  <c r="AI74" i="6"/>
  <c r="L74" i="6"/>
  <c r="V74" i="6"/>
  <c r="AF74" i="6"/>
  <c r="AD74" i="6"/>
  <c r="Z74" i="6"/>
  <c r="S74" i="6"/>
  <c r="R74" i="6"/>
  <c r="G74" i="6"/>
  <c r="AQ74" i="6" s="1"/>
  <c r="AR74" i="6" s="1"/>
  <c r="I74" i="6"/>
  <c r="K74" i="6"/>
  <c r="AH74" i="6"/>
  <c r="Y74" i="6"/>
  <c r="AG74" i="6"/>
  <c r="J74" i="6"/>
  <c r="U74" i="6"/>
  <c r="X74" i="6"/>
  <c r="W74" i="6"/>
  <c r="AH75" i="6"/>
  <c r="AF75" i="6"/>
  <c r="U75" i="6"/>
  <c r="J75" i="6"/>
  <c r="AE75" i="6"/>
  <c r="V75" i="6"/>
  <c r="AI75" i="6"/>
  <c r="H75" i="6"/>
  <c r="AC75" i="6"/>
  <c r="AG75" i="6"/>
  <c r="I75" i="6"/>
  <c r="AD75" i="6"/>
  <c r="X75" i="6"/>
  <c r="Y75" i="6"/>
  <c r="S75" i="6"/>
  <c r="K75" i="6"/>
  <c r="R75" i="6"/>
  <c r="Z75" i="6"/>
  <c r="G75" i="6"/>
  <c r="AQ75" i="6" s="1"/>
  <c r="AR75" i="6" s="1"/>
  <c r="AS75" i="6" s="1"/>
  <c r="AT75" i="6" s="1"/>
  <c r="AU75" i="6" s="1"/>
  <c r="L75" i="6"/>
  <c r="AA75" i="6"/>
  <c r="T75" i="6"/>
  <c r="AB75" i="6"/>
  <c r="W75" i="6"/>
  <c r="L76" i="6"/>
  <c r="Y76" i="6"/>
  <c r="AH76" i="6"/>
  <c r="AC76" i="6"/>
  <c r="AG76" i="6"/>
  <c r="AD76" i="6"/>
  <c r="T76" i="6"/>
  <c r="H76" i="6"/>
  <c r="X76" i="6"/>
  <c r="AF76" i="6"/>
  <c r="I76" i="6"/>
  <c r="AA76" i="6"/>
  <c r="S76" i="6"/>
  <c r="K76" i="6"/>
  <c r="R76" i="6"/>
  <c r="AI76" i="6"/>
  <c r="AB76" i="6"/>
  <c r="V76" i="6"/>
  <c r="AE76" i="6"/>
  <c r="Z76" i="6"/>
  <c r="G76" i="6"/>
  <c r="AQ76" i="6" s="1"/>
  <c r="AR76" i="6" s="1"/>
  <c r="AS76" i="6" s="1"/>
  <c r="J76" i="6"/>
  <c r="U76" i="6"/>
  <c r="W76" i="6"/>
  <c r="K77" i="6"/>
  <c r="Y77" i="6"/>
  <c r="AG77" i="6"/>
  <c r="H77" i="6"/>
  <c r="X77" i="6"/>
  <c r="G77" i="6"/>
  <c r="AQ77" i="6" s="1"/>
  <c r="AR77" i="6" s="1"/>
  <c r="AI77" i="6"/>
  <c r="V77" i="6"/>
  <c r="AB77" i="6"/>
  <c r="AE77" i="6"/>
  <c r="U77" i="6"/>
  <c r="T77" i="6"/>
  <c r="J77" i="6"/>
  <c r="AD77" i="6"/>
  <c r="S77" i="6"/>
  <c r="L77" i="6"/>
  <c r="I77" i="6"/>
  <c r="AF77" i="6"/>
  <c r="AH77" i="6"/>
  <c r="Z77" i="6"/>
  <c r="AA77" i="6"/>
  <c r="R77" i="6"/>
  <c r="AC77" i="6"/>
  <c r="W77" i="6"/>
  <c r="U78" i="6"/>
  <c r="AD78" i="6"/>
  <c r="T78" i="6"/>
  <c r="H78" i="6"/>
  <c r="AF78" i="6"/>
  <c r="S78" i="6"/>
  <c r="X78" i="6"/>
  <c r="AA78" i="6"/>
  <c r="AE78" i="6"/>
  <c r="I78" i="6"/>
  <c r="AG78" i="6"/>
  <c r="AH78" i="6"/>
  <c r="AB78" i="6"/>
  <c r="L78" i="6"/>
  <c r="J78" i="6"/>
  <c r="AI78" i="6"/>
  <c r="Z78" i="6"/>
  <c r="Y78" i="6"/>
  <c r="AC78" i="6"/>
  <c r="V78" i="6"/>
  <c r="K78" i="6"/>
  <c r="R78" i="6"/>
  <c r="G78" i="6"/>
  <c r="AQ78" i="6" s="1"/>
  <c r="AR78" i="6" s="1"/>
  <c r="AS78" i="6" s="1"/>
  <c r="AT78" i="6" s="1"/>
  <c r="AU78" i="6" s="1"/>
  <c r="AV78" i="6" s="1"/>
  <c r="AW78" i="6" s="1"/>
  <c r="AX78" i="6" s="1"/>
  <c r="AY78" i="6" s="1"/>
  <c r="AZ78" i="6" s="1"/>
  <c r="BA78" i="6" s="1"/>
  <c r="BB78" i="6" s="1"/>
  <c r="BC78" i="6" s="1"/>
  <c r="BD78" i="6" s="1"/>
  <c r="BE78" i="6" s="1"/>
  <c r="BF78" i="6" s="1"/>
  <c r="W78" i="6"/>
  <c r="V79" i="6"/>
  <c r="AF79" i="6"/>
  <c r="AA79" i="6"/>
  <c r="K79" i="6"/>
  <c r="G79" i="6"/>
  <c r="AQ79" i="6" s="1"/>
  <c r="L79" i="6"/>
  <c r="AI79" i="6"/>
  <c r="Z79" i="6"/>
  <c r="S79" i="6"/>
  <c r="AD79" i="6"/>
  <c r="AC79" i="6"/>
  <c r="H79" i="6"/>
  <c r="AH79" i="6"/>
  <c r="X79" i="6"/>
  <c r="T79" i="6"/>
  <c r="W79" i="6"/>
  <c r="Y79" i="6"/>
  <c r="AE79" i="6"/>
  <c r="AG79" i="6"/>
  <c r="U79" i="6"/>
  <c r="R79" i="6"/>
  <c r="AB79" i="6"/>
  <c r="J79" i="6"/>
  <c r="I79" i="6"/>
  <c r="L80" i="6"/>
  <c r="AC80" i="6"/>
  <c r="U80" i="6"/>
  <c r="G80" i="6"/>
  <c r="AQ80" i="6" s="1"/>
  <c r="W80" i="6"/>
  <c r="AD80" i="6"/>
  <c r="Y80" i="6"/>
  <c r="AA80" i="6"/>
  <c r="AE80" i="6"/>
  <c r="T80" i="6"/>
  <c r="Z80" i="6"/>
  <c r="K80" i="6"/>
  <c r="S80" i="6"/>
  <c r="AH80" i="6"/>
  <c r="J80" i="6"/>
  <c r="H80" i="6"/>
  <c r="AB80" i="6"/>
  <c r="X80" i="6"/>
  <c r="AF80" i="6"/>
  <c r="R80" i="6"/>
  <c r="I80" i="6"/>
  <c r="V80" i="6"/>
  <c r="AI80" i="6"/>
  <c r="AG80" i="6"/>
  <c r="AH81" i="6"/>
  <c r="L81" i="6"/>
  <c r="AC81" i="6"/>
  <c r="H81" i="6"/>
  <c r="AD81" i="6"/>
  <c r="T81" i="6"/>
  <c r="AF81" i="6"/>
  <c r="W81" i="6"/>
  <c r="V81" i="6"/>
  <c r="J81" i="6"/>
  <c r="R81" i="6"/>
  <c r="G81" i="6"/>
  <c r="AQ81" i="6" s="1"/>
  <c r="AR81" i="6" s="1"/>
  <c r="AE81" i="6"/>
  <c r="U81" i="6"/>
  <c r="AG81" i="6"/>
  <c r="K81" i="6"/>
  <c r="AA81" i="6"/>
  <c r="Y81" i="6"/>
  <c r="I81" i="6"/>
  <c r="S81" i="6"/>
  <c r="AI81" i="6"/>
  <c r="X81" i="6"/>
  <c r="Z81" i="6"/>
  <c r="AB81" i="6"/>
  <c r="AE82" i="6"/>
  <c r="S82" i="6"/>
  <c r="AC82" i="6"/>
  <c r="J82" i="6"/>
  <c r="Y82" i="6"/>
  <c r="Z82" i="6"/>
  <c r="AD82" i="6"/>
  <c r="R82" i="6"/>
  <c r="W82" i="6"/>
  <c r="K82" i="6"/>
  <c r="AB82" i="6"/>
  <c r="AF82" i="6"/>
  <c r="AG82" i="6"/>
  <c r="H82" i="6"/>
  <c r="U82" i="6"/>
  <c r="L82" i="6"/>
  <c r="V82" i="6"/>
  <c r="I82" i="6"/>
  <c r="G82" i="6"/>
  <c r="AQ82" i="6" s="1"/>
  <c r="AR82" i="6" s="1"/>
  <c r="AS82" i="6" s="1"/>
  <c r="AT82" i="6" s="1"/>
  <c r="AU82" i="6" s="1"/>
  <c r="AV82" i="6" s="1"/>
  <c r="AW82" i="6" s="1"/>
  <c r="AX82" i="6" s="1"/>
  <c r="AY82" i="6" s="1"/>
  <c r="AZ82" i="6" s="1"/>
  <c r="BA82" i="6" s="1"/>
  <c r="BB82" i="6" s="1"/>
  <c r="BC82" i="6" s="1"/>
  <c r="AI82" i="6"/>
  <c r="AA82" i="6"/>
  <c r="AH82" i="6"/>
  <c r="X82" i="6"/>
  <c r="T82" i="6"/>
  <c r="W83" i="6"/>
  <c r="L83" i="6"/>
  <c r="H83" i="6"/>
  <c r="AH83" i="6"/>
  <c r="G83" i="6"/>
  <c r="AQ83" i="6" s="1"/>
  <c r="AR83" i="6" s="1"/>
  <c r="AB83" i="6"/>
  <c r="AF83" i="6"/>
  <c r="AC83" i="6"/>
  <c r="Z83" i="6"/>
  <c r="K83" i="6"/>
  <c r="V83" i="6"/>
  <c r="U83" i="6"/>
  <c r="AD83" i="6"/>
  <c r="Y83" i="6"/>
  <c r="S83" i="6"/>
  <c r="AI83" i="6"/>
  <c r="AE83" i="6"/>
  <c r="J83" i="6"/>
  <c r="X83" i="6"/>
  <c r="T83" i="6"/>
  <c r="R83" i="6"/>
  <c r="AA83" i="6"/>
  <c r="I83" i="6"/>
  <c r="AG83" i="6"/>
  <c r="G84" i="6"/>
  <c r="AQ84" i="6" s="1"/>
  <c r="AR84" i="6" s="1"/>
  <c r="X84" i="6"/>
  <c r="R84" i="6"/>
  <c r="V84" i="6"/>
  <c r="I84" i="6"/>
  <c r="AC84" i="6"/>
  <c r="Z84" i="6"/>
  <c r="Y84" i="6"/>
  <c r="S84" i="6"/>
  <c r="AA84" i="6"/>
  <c r="AF84" i="6"/>
  <c r="AB84" i="6"/>
  <c r="AG84" i="6"/>
  <c r="H84" i="6"/>
  <c r="AD84" i="6"/>
  <c r="AH84" i="6"/>
  <c r="K84" i="6"/>
  <c r="W84" i="6"/>
  <c r="T84" i="6"/>
  <c r="U84" i="6"/>
  <c r="AE84" i="6"/>
  <c r="L84" i="6"/>
  <c r="J84" i="6"/>
  <c r="AI84" i="6"/>
  <c r="T85" i="6"/>
  <c r="Z85" i="6"/>
  <c r="AA85" i="6"/>
  <c r="L85" i="6"/>
  <c r="I85" i="6"/>
  <c r="W85" i="6"/>
  <c r="AC85" i="6"/>
  <c r="R85" i="6"/>
  <c r="V85" i="6"/>
  <c r="S85" i="6"/>
  <c r="AD85" i="6"/>
  <c r="H85" i="6"/>
  <c r="Y85" i="6"/>
  <c r="AG85" i="6"/>
  <c r="AH85" i="6"/>
  <c r="J85" i="6"/>
  <c r="AI85" i="6"/>
  <c r="AE85" i="6"/>
  <c r="AF85" i="6"/>
  <c r="G85" i="6"/>
  <c r="AQ85" i="6" s="1"/>
  <c r="AR85" i="6" s="1"/>
  <c r="AS85" i="6" s="1"/>
  <c r="AT85" i="6" s="1"/>
  <c r="AB85" i="6"/>
  <c r="U85" i="6"/>
  <c r="K85" i="6"/>
  <c r="X85" i="6"/>
  <c r="S86" i="6"/>
  <c r="W86" i="6"/>
  <c r="Z86" i="6"/>
  <c r="AD86" i="6"/>
  <c r="R86" i="6"/>
  <c r="H86" i="6"/>
  <c r="T86" i="6"/>
  <c r="K86" i="6"/>
  <c r="AC86" i="6"/>
  <c r="Y86" i="6"/>
  <c r="V86" i="6"/>
  <c r="X86" i="6"/>
  <c r="U86" i="6"/>
  <c r="I86" i="6"/>
  <c r="L86" i="6"/>
  <c r="AI86" i="6"/>
  <c r="AH86" i="6"/>
  <c r="AE86" i="6"/>
  <c r="J86" i="6"/>
  <c r="AF86" i="6"/>
  <c r="G86" i="6"/>
  <c r="AQ86" i="6" s="1"/>
  <c r="AR86" i="6" s="1"/>
  <c r="AS86" i="6" s="1"/>
  <c r="AT86" i="6" s="1"/>
  <c r="AU86" i="6" s="1"/>
  <c r="AV86" i="6" s="1"/>
  <c r="AW86" i="6" s="1"/>
  <c r="AX86" i="6" s="1"/>
  <c r="AY86" i="6" s="1"/>
  <c r="AZ86" i="6" s="1"/>
  <c r="BA86" i="6" s="1"/>
  <c r="BB86" i="6" s="1"/>
  <c r="BC86" i="6" s="1"/>
  <c r="BD86" i="6" s="1"/>
  <c r="BE86" i="6" s="1"/>
  <c r="BF86" i="6" s="1"/>
  <c r="BG86" i="6" s="1"/>
  <c r="BH86" i="6" s="1"/>
  <c r="BI86" i="6" s="1"/>
  <c r="BJ86" i="6" s="1"/>
  <c r="AA86" i="6"/>
  <c r="AG86" i="6"/>
  <c r="AB86" i="6"/>
  <c r="W87" i="6"/>
  <c r="T87" i="6"/>
  <c r="K87" i="6"/>
  <c r="AH87" i="6"/>
  <c r="AE87" i="6"/>
  <c r="R87" i="6"/>
  <c r="J87" i="6"/>
  <c r="AC87" i="6"/>
  <c r="I87" i="6"/>
  <c r="AA87" i="6"/>
  <c r="Y87" i="6"/>
  <c r="Z87" i="6"/>
  <c r="U87" i="6"/>
  <c r="G87" i="6"/>
  <c r="AQ87" i="6" s="1"/>
  <c r="X87" i="6"/>
  <c r="S87" i="6"/>
  <c r="AI87" i="6"/>
  <c r="AB87" i="6"/>
  <c r="AD87" i="6"/>
  <c r="AG87" i="6"/>
  <c r="AF87" i="6"/>
  <c r="L87" i="6"/>
  <c r="H87" i="6"/>
  <c r="V87" i="6"/>
  <c r="AB88" i="6"/>
  <c r="K88" i="6"/>
  <c r="AC88" i="6"/>
  <c r="R88" i="6"/>
  <c r="L88" i="6"/>
  <c r="AG88" i="6"/>
  <c r="Z88" i="6"/>
  <c r="S88" i="6"/>
  <c r="AA88" i="6"/>
  <c r="I88" i="6"/>
  <c r="V88" i="6"/>
  <c r="J88" i="6"/>
  <c r="AF88" i="6"/>
  <c r="AD88" i="6"/>
  <c r="AE88" i="6"/>
  <c r="AH88" i="6"/>
  <c r="Y88" i="6"/>
  <c r="H88" i="6"/>
  <c r="U88" i="6"/>
  <c r="G88" i="6"/>
  <c r="AQ88" i="6" s="1"/>
  <c r="AR88" i="6" s="1"/>
  <c r="AS88" i="6" s="1"/>
  <c r="AT88" i="6" s="1"/>
  <c r="AU88" i="6" s="1"/>
  <c r="AV88" i="6" s="1"/>
  <c r="AW88" i="6" s="1"/>
  <c r="AX88" i="6" s="1"/>
  <c r="AY88" i="6" s="1"/>
  <c r="AZ88" i="6" s="1"/>
  <c r="BA88" i="6" s="1"/>
  <c r="BB88" i="6" s="1"/>
  <c r="BC88" i="6" s="1"/>
  <c r="X88" i="6"/>
  <c r="T88" i="6"/>
  <c r="AI88" i="6"/>
  <c r="W88" i="6"/>
  <c r="X89" i="6"/>
  <c r="AI89" i="6"/>
  <c r="AF89" i="6"/>
  <c r="L89" i="6"/>
  <c r="Y89" i="6"/>
  <c r="AA89" i="6"/>
  <c r="AD89" i="6"/>
  <c r="G89" i="6"/>
  <c r="AQ89" i="6" s="1"/>
  <c r="AE89" i="6"/>
  <c r="AG89" i="6"/>
  <c r="AB89" i="6"/>
  <c r="AH89" i="6"/>
  <c r="Z89" i="6"/>
  <c r="I89" i="6"/>
  <c r="H89" i="6"/>
  <c r="AC89" i="6"/>
  <c r="U89" i="6"/>
  <c r="R89" i="6"/>
  <c r="K89" i="6"/>
  <c r="T89" i="6"/>
  <c r="S89" i="6"/>
  <c r="V89" i="6"/>
  <c r="J89" i="6"/>
  <c r="W89" i="6"/>
  <c r="AF90" i="6"/>
  <c r="AA90" i="6"/>
  <c r="Z90" i="6"/>
  <c r="I90" i="6"/>
  <c r="G90" i="6"/>
  <c r="AQ90" i="6" s="1"/>
  <c r="X90" i="6"/>
  <c r="AC90" i="6"/>
  <c r="AD90" i="6"/>
  <c r="S90" i="6"/>
  <c r="T90" i="6"/>
  <c r="K90" i="6"/>
  <c r="AH90" i="6"/>
  <c r="H90" i="6"/>
  <c r="AE90" i="6"/>
  <c r="AI90" i="6"/>
  <c r="U90" i="6"/>
  <c r="J90" i="6"/>
  <c r="L90" i="6"/>
  <c r="AG90" i="6"/>
  <c r="V90" i="6"/>
  <c r="AB90" i="6"/>
  <c r="R90" i="6"/>
  <c r="Y90" i="6"/>
  <c r="W90" i="6"/>
  <c r="I91" i="6"/>
  <c r="S91" i="6"/>
  <c r="Z91" i="6"/>
  <c r="T91" i="6"/>
  <c r="AI91" i="6"/>
  <c r="K91" i="6"/>
  <c r="J91" i="6"/>
  <c r="AG91" i="6"/>
  <c r="AD91" i="6"/>
  <c r="G91" i="6"/>
  <c r="AQ91" i="6" s="1"/>
  <c r="AB91" i="6"/>
  <c r="L91" i="6"/>
  <c r="H91" i="6"/>
  <c r="AE91" i="6"/>
  <c r="U91" i="6"/>
  <c r="AA91" i="6"/>
  <c r="AH91" i="6"/>
  <c r="X91" i="6"/>
  <c r="R91" i="6"/>
  <c r="Y91" i="6"/>
  <c r="AF91" i="6"/>
  <c r="V91" i="6"/>
  <c r="AC91" i="6"/>
  <c r="W91" i="6"/>
  <c r="AB92" i="6"/>
  <c r="R92" i="6"/>
  <c r="K92" i="6"/>
  <c r="V92" i="6"/>
  <c r="L92" i="6"/>
  <c r="Y92" i="6"/>
  <c r="AA92" i="6"/>
  <c r="I92" i="6"/>
  <c r="Z92" i="6"/>
  <c r="G92" i="6"/>
  <c r="AQ92" i="6" s="1"/>
  <c r="AD92" i="6"/>
  <c r="X92" i="6"/>
  <c r="AI92" i="6"/>
  <c r="U92" i="6"/>
  <c r="AE92" i="6"/>
  <c r="AH92" i="6"/>
  <c r="AF92" i="6"/>
  <c r="AG92" i="6"/>
  <c r="T92" i="6"/>
  <c r="H92" i="6"/>
  <c r="J92" i="6"/>
  <c r="AC92" i="6"/>
  <c r="S92" i="6"/>
  <c r="W92" i="6"/>
  <c r="T93" i="6"/>
  <c r="AF93" i="6"/>
  <c r="S93" i="6"/>
  <c r="R93" i="6"/>
  <c r="AA93" i="6"/>
  <c r="AG93" i="6"/>
  <c r="AH93" i="6"/>
  <c r="L93" i="6"/>
  <c r="AB93" i="6"/>
  <c r="AI93" i="6"/>
  <c r="W93" i="6"/>
  <c r="X93" i="6"/>
  <c r="K93" i="6"/>
  <c r="J93" i="6"/>
  <c r="I93" i="6"/>
  <c r="H93" i="6"/>
  <c r="G93" i="6"/>
  <c r="AQ93" i="6" s="1"/>
  <c r="AR93" i="6" s="1"/>
  <c r="AS93" i="6" s="1"/>
  <c r="AT93" i="6" s="1"/>
  <c r="AU93" i="6" s="1"/>
  <c r="AV93" i="6" s="1"/>
  <c r="AW93" i="6" s="1"/>
  <c r="AX93" i="6" s="1"/>
  <c r="AY93" i="6" s="1"/>
  <c r="AZ93" i="6" s="1"/>
  <c r="BA93" i="6" s="1"/>
  <c r="BB93" i="6" s="1"/>
  <c r="BC93" i="6" s="1"/>
  <c r="BD93" i="6" s="1"/>
  <c r="Y93" i="6"/>
  <c r="Z93" i="6"/>
  <c r="AC93" i="6"/>
  <c r="V93" i="6"/>
  <c r="AD93" i="6"/>
  <c r="U93" i="6"/>
  <c r="AE93" i="6"/>
  <c r="I94" i="6"/>
  <c r="AC94" i="6"/>
  <c r="L94" i="6"/>
  <c r="J94" i="6"/>
  <c r="AF94" i="6"/>
  <c r="X94" i="6"/>
  <c r="AB94" i="6"/>
  <c r="T94" i="6"/>
  <c r="R94" i="6"/>
  <c r="AG94" i="6"/>
  <c r="AH94" i="6"/>
  <c r="AD94" i="6"/>
  <c r="U94" i="6"/>
  <c r="AE94" i="6"/>
  <c r="Y94" i="6"/>
  <c r="Z94" i="6"/>
  <c r="W94" i="6"/>
  <c r="AI94" i="6"/>
  <c r="S94" i="6"/>
  <c r="AA94" i="6"/>
  <c r="K94" i="6"/>
  <c r="H94" i="6"/>
  <c r="V94" i="6"/>
  <c r="G94" i="6"/>
  <c r="AQ94" i="6" s="1"/>
  <c r="AR94" i="6" s="1"/>
  <c r="AS94" i="6" s="1"/>
  <c r="AT94" i="6" s="1"/>
  <c r="AU94" i="6" s="1"/>
  <c r="AV94" i="6" s="1"/>
  <c r="AW94" i="6" s="1"/>
  <c r="AX94" i="6" s="1"/>
  <c r="AY94" i="6" s="1"/>
  <c r="AZ94" i="6" s="1"/>
  <c r="BA94" i="6" s="1"/>
  <c r="BB94" i="6" s="1"/>
  <c r="BC94" i="6" s="1"/>
  <c r="BD94" i="6" s="1"/>
  <c r="BE94" i="6" s="1"/>
  <c r="BF94" i="6" s="1"/>
  <c r="BG94" i="6" s="1"/>
  <c r="BH94" i="6" s="1"/>
  <c r="BI94" i="6" s="1"/>
  <c r="BJ94" i="6" s="1"/>
  <c r="BK94" i="6" s="1"/>
  <c r="BL94" i="6" s="1"/>
  <c r="BM94" i="6" s="1"/>
  <c r="BN94" i="6" s="1"/>
  <c r="BO94" i="6" s="1"/>
  <c r="BP94" i="6" s="1"/>
  <c r="BQ94" i="6" s="1"/>
  <c r="BR94" i="6" s="1"/>
  <c r="BS94" i="6" s="1"/>
  <c r="BT94" i="6" s="1"/>
  <c r="AD95" i="6"/>
  <c r="W95" i="6"/>
  <c r="Y95" i="6"/>
  <c r="I95" i="6"/>
  <c r="U95" i="6"/>
  <c r="S95" i="6"/>
  <c r="L95" i="6"/>
  <c r="R95" i="6"/>
  <c r="AG95" i="6"/>
  <c r="K95" i="6"/>
  <c r="G95" i="6"/>
  <c r="AQ95" i="6" s="1"/>
  <c r="AI95" i="6"/>
  <c r="AC95" i="6"/>
  <c r="AE95" i="6"/>
  <c r="V95" i="6"/>
  <c r="AA95" i="6"/>
  <c r="AH95" i="6"/>
  <c r="X95" i="6"/>
  <c r="H95" i="6"/>
  <c r="AB95" i="6"/>
  <c r="Z95" i="6"/>
  <c r="T95" i="6"/>
  <c r="AF95" i="6"/>
  <c r="J95" i="6"/>
  <c r="V96" i="6"/>
  <c r="L96" i="6"/>
  <c r="X96" i="6"/>
  <c r="AE96" i="6"/>
  <c r="AD96" i="6"/>
  <c r="U96" i="6"/>
  <c r="AB96" i="6"/>
  <c r="K96" i="6"/>
  <c r="AG96" i="6"/>
  <c r="J96" i="6"/>
  <c r="AC96" i="6"/>
  <c r="Y96" i="6"/>
  <c r="AA96" i="6"/>
  <c r="G96" i="6"/>
  <c r="AQ96" i="6" s="1"/>
  <c r="AI96" i="6"/>
  <c r="AF96" i="6"/>
  <c r="S96" i="6"/>
  <c r="R96" i="6"/>
  <c r="AH96" i="6"/>
  <c r="T96" i="6"/>
  <c r="Z96" i="6"/>
  <c r="H96" i="6"/>
  <c r="I96" i="6"/>
  <c r="W96" i="6"/>
  <c r="AH97" i="6"/>
  <c r="I97" i="6"/>
  <c r="AF97" i="6"/>
  <c r="AD97" i="6"/>
  <c r="AG97" i="6"/>
  <c r="S97" i="6"/>
  <c r="X97" i="6"/>
  <c r="Z97" i="6"/>
  <c r="AC97" i="6"/>
  <c r="AA97" i="6"/>
  <c r="R97" i="6"/>
  <c r="AB97" i="6"/>
  <c r="J97" i="6"/>
  <c r="H97" i="6"/>
  <c r="G97" i="6"/>
  <c r="AQ97" i="6" s="1"/>
  <c r="AR97" i="6" s="1"/>
  <c r="AS97" i="6" s="1"/>
  <c r="AT97" i="6" s="1"/>
  <c r="T97" i="6"/>
  <c r="AI97" i="6"/>
  <c r="V97" i="6"/>
  <c r="W97" i="6"/>
  <c r="AE97" i="6"/>
  <c r="K97" i="6"/>
  <c r="L97" i="6"/>
  <c r="Y97" i="6"/>
  <c r="U97" i="6"/>
  <c r="AH98" i="6"/>
  <c r="Z98" i="6"/>
  <c r="AF98" i="6"/>
  <c r="AC98" i="6"/>
  <c r="AI98" i="6"/>
  <c r="J98" i="6"/>
  <c r="G98" i="6"/>
  <c r="AQ98" i="6" s="1"/>
  <c r="T98" i="6"/>
  <c r="X98" i="6"/>
  <c r="AB98" i="6"/>
  <c r="S98" i="6"/>
  <c r="AG98" i="6"/>
  <c r="L98" i="6"/>
  <c r="AD98" i="6"/>
  <c r="W98" i="6"/>
  <c r="AE98" i="6"/>
  <c r="R98" i="6"/>
  <c r="U98" i="6"/>
  <c r="V98" i="6"/>
  <c r="AA98" i="6"/>
  <c r="H98" i="6"/>
  <c r="I98" i="6"/>
  <c r="K98" i="6"/>
  <c r="Y98" i="6"/>
  <c r="X99" i="6"/>
  <c r="G99" i="6"/>
  <c r="AQ99" i="6" s="1"/>
  <c r="AR99" i="6" s="1"/>
  <c r="AS99" i="6" s="1"/>
  <c r="AT99" i="6" s="1"/>
  <c r="AU99" i="6" s="1"/>
  <c r="AV99" i="6" s="1"/>
  <c r="AW99" i="6" s="1"/>
  <c r="AX99" i="6" s="1"/>
  <c r="AY99" i="6" s="1"/>
  <c r="AZ99" i="6" s="1"/>
  <c r="BA99" i="6" s="1"/>
  <c r="BB99" i="6" s="1"/>
  <c r="BC99" i="6" s="1"/>
  <c r="BD99" i="6" s="1"/>
  <c r="BE99" i="6" s="1"/>
  <c r="BF99" i="6" s="1"/>
  <c r="BG99" i="6" s="1"/>
  <c r="BH99" i="6" s="1"/>
  <c r="BI99" i="6" s="1"/>
  <c r="BJ99" i="6" s="1"/>
  <c r="BK99" i="6" s="1"/>
  <c r="BL99" i="6" s="1"/>
  <c r="BM99" i="6" s="1"/>
  <c r="BN99" i="6" s="1"/>
  <c r="BO99" i="6" s="1"/>
  <c r="BP99" i="6" s="1"/>
  <c r="BQ99" i="6" s="1"/>
  <c r="BR99" i="6" s="1"/>
  <c r="BS99" i="6" s="1"/>
  <c r="BT99" i="6" s="1"/>
  <c r="AC99" i="6"/>
  <c r="Y99" i="6"/>
  <c r="AB99" i="6"/>
  <c r="J99" i="6"/>
  <c r="AI99" i="6"/>
  <c r="S99" i="6"/>
  <c r="H99" i="6"/>
  <c r="AF99" i="6"/>
  <c r="AA99" i="6"/>
  <c r="V99" i="6"/>
  <c r="T99" i="6"/>
  <c r="AE99" i="6"/>
  <c r="Z99" i="6"/>
  <c r="U99" i="6"/>
  <c r="L99" i="6"/>
  <c r="K99" i="6"/>
  <c r="AH99" i="6"/>
  <c r="AG99" i="6"/>
  <c r="AD99" i="6"/>
  <c r="R99" i="6"/>
  <c r="I99" i="6"/>
  <c r="W99" i="6"/>
  <c r="AA100" i="6"/>
  <c r="I100" i="6"/>
  <c r="AF100" i="6"/>
  <c r="L100" i="6"/>
  <c r="S100" i="6"/>
  <c r="Z100" i="6"/>
  <c r="AH100" i="6"/>
  <c r="AC100" i="6"/>
  <c r="X100" i="6"/>
  <c r="Y100" i="6"/>
  <c r="H100" i="6"/>
  <c r="J100" i="6"/>
  <c r="AD100" i="6"/>
  <c r="U100" i="6"/>
  <c r="V100" i="6"/>
  <c r="AG100" i="6"/>
  <c r="AE100" i="6"/>
  <c r="R100" i="6"/>
  <c r="AI100" i="6"/>
  <c r="T100" i="6"/>
  <c r="G100" i="6"/>
  <c r="AQ100" i="6" s="1"/>
  <c r="AR100" i="6" s="1"/>
  <c r="AS100" i="6" s="1"/>
  <c r="AT100" i="6" s="1"/>
  <c r="W100" i="6"/>
  <c r="AB100" i="6"/>
  <c r="K100" i="6"/>
  <c r="L101" i="6"/>
  <c r="R101" i="6"/>
  <c r="AD101" i="6"/>
  <c r="AG101" i="6"/>
  <c r="AH101" i="6"/>
  <c r="V101" i="6"/>
  <c r="AA101" i="6"/>
  <c r="K101" i="6"/>
  <c r="S101" i="6"/>
  <c r="T101" i="6"/>
  <c r="AF101" i="6"/>
  <c r="Y101" i="6"/>
  <c r="I101" i="6"/>
  <c r="AB101" i="6"/>
  <c r="J101" i="6"/>
  <c r="G101" i="6"/>
  <c r="AQ101" i="6" s="1"/>
  <c r="AI101" i="6"/>
  <c r="Z101" i="6"/>
  <c r="AE101" i="6"/>
  <c r="W101" i="6"/>
  <c r="U101" i="6"/>
  <c r="H101" i="6"/>
  <c r="AC101" i="6"/>
  <c r="X101" i="6"/>
  <c r="AA102" i="6"/>
  <c r="AF102" i="6"/>
  <c r="AI102" i="6"/>
  <c r="Y102" i="6"/>
  <c r="AH102" i="6"/>
  <c r="T102" i="6"/>
  <c r="AE102" i="6"/>
  <c r="AC102" i="6"/>
  <c r="J102" i="6"/>
  <c r="W102" i="6"/>
  <c r="R102" i="6"/>
  <c r="U102" i="6"/>
  <c r="Z102" i="6"/>
  <c r="AG102" i="6"/>
  <c r="AB102" i="6"/>
  <c r="AD102" i="6"/>
  <c r="K102" i="6"/>
  <c r="H102" i="6"/>
  <c r="X102" i="6"/>
  <c r="G102" i="6"/>
  <c r="AQ102" i="6" s="1"/>
  <c r="AR102" i="6" s="1"/>
  <c r="L102" i="6"/>
  <c r="V102" i="6"/>
  <c r="S102" i="6"/>
  <c r="I102" i="6"/>
  <c r="AH103" i="6"/>
  <c r="G103" i="6"/>
  <c r="AQ103" i="6" s="1"/>
  <c r="AG103" i="6"/>
  <c r="Y103" i="6"/>
  <c r="K103" i="6"/>
  <c r="AA103" i="6"/>
  <c r="Z103" i="6"/>
  <c r="J103" i="6"/>
  <c r="S103" i="6"/>
  <c r="I103" i="6"/>
  <c r="L103" i="6"/>
  <c r="R103" i="6"/>
  <c r="AB103" i="6"/>
  <c r="AI103" i="6"/>
  <c r="AF103" i="6"/>
  <c r="T103" i="6"/>
  <c r="H103" i="6"/>
  <c r="AE103" i="6"/>
  <c r="U103" i="6"/>
  <c r="AD103" i="6"/>
  <c r="X103" i="6"/>
  <c r="V103" i="6"/>
  <c r="AC103" i="6"/>
  <c r="W103" i="6"/>
  <c r="AH104" i="6"/>
  <c r="AG104" i="6"/>
  <c r="L104" i="6"/>
  <c r="T104" i="6"/>
  <c r="R104" i="6"/>
  <c r="S104" i="6"/>
  <c r="I104" i="6"/>
  <c r="G104" i="6"/>
  <c r="AQ104" i="6" s="1"/>
  <c r="AF104" i="6"/>
  <c r="AB104" i="6"/>
  <c r="K104" i="6"/>
  <c r="AI104" i="6"/>
  <c r="X104" i="6"/>
  <c r="J104" i="6"/>
  <c r="Y104" i="6"/>
  <c r="Z104" i="6"/>
  <c r="AA104" i="6"/>
  <c r="H104" i="6"/>
  <c r="AD104" i="6"/>
  <c r="V104" i="6"/>
  <c r="AC104" i="6"/>
  <c r="W104" i="6"/>
  <c r="U104" i="6"/>
  <c r="AE104" i="6"/>
  <c r="AM5" i="6"/>
  <c r="AP5" i="6" s="1"/>
  <c r="AN5" i="6"/>
  <c r="AO5" i="6" s="1"/>
  <c r="AN6" i="6"/>
  <c r="AM6" i="6"/>
  <c r="AM7" i="6"/>
  <c r="AP7" i="6" s="1"/>
  <c r="AN7" i="6"/>
  <c r="AO7" i="6" s="1"/>
  <c r="AM8" i="6"/>
  <c r="AN8" i="6"/>
  <c r="AN9" i="6"/>
  <c r="AM9" i="6"/>
  <c r="AM10" i="6"/>
  <c r="AP10" i="6" s="1"/>
  <c r="AN10" i="6"/>
  <c r="AO10" i="6" s="1"/>
  <c r="AM11" i="6"/>
  <c r="AP11" i="6" s="1"/>
  <c r="AN11" i="6"/>
  <c r="AO11" i="6" s="1"/>
  <c r="AM12" i="6"/>
  <c r="AP12" i="6" s="1"/>
  <c r="AN12" i="6"/>
  <c r="AO12" i="6" s="1"/>
  <c r="AM13" i="6"/>
  <c r="AP13" i="6" s="1"/>
  <c r="AN13" i="6"/>
  <c r="AO13" i="6" s="1"/>
  <c r="AM14" i="6"/>
  <c r="AP14" i="6" s="1"/>
  <c r="AN14" i="6"/>
  <c r="AO14" i="6" s="1"/>
  <c r="AM15" i="6"/>
  <c r="AP15" i="6" s="1"/>
  <c r="AN15" i="6"/>
  <c r="AO15" i="6" s="1"/>
  <c r="AN16" i="6"/>
  <c r="AO16" i="6" s="1"/>
  <c r="AM16" i="6"/>
  <c r="AP16" i="6" s="1"/>
  <c r="AM17" i="6"/>
  <c r="AP17" i="6" s="1"/>
  <c r="AN17" i="6"/>
  <c r="AO17" i="6" s="1"/>
  <c r="AM18" i="6"/>
  <c r="AP18" i="6" s="1"/>
  <c r="AN18" i="6"/>
  <c r="AO18" i="6" s="1"/>
  <c r="AM19" i="6"/>
  <c r="AP19" i="6" s="1"/>
  <c r="AN19" i="6"/>
  <c r="AO19" i="6" s="1"/>
  <c r="AM20" i="6"/>
  <c r="AP20" i="6" s="1"/>
  <c r="AN20" i="6"/>
  <c r="AO20" i="6" s="1"/>
  <c r="AM21" i="6"/>
  <c r="AP21" i="6" s="1"/>
  <c r="AN21" i="6"/>
  <c r="AO21" i="6" s="1"/>
  <c r="AM22" i="6"/>
  <c r="AP22" i="6" s="1"/>
  <c r="AN22" i="6"/>
  <c r="AO22" i="6" s="1"/>
  <c r="AN23" i="6"/>
  <c r="AO23" i="6" s="1"/>
  <c r="AM23" i="6"/>
  <c r="AP23" i="6" s="1"/>
  <c r="AM24" i="6"/>
  <c r="AP24" i="6" s="1"/>
  <c r="AN24" i="6"/>
  <c r="AO24" i="6" s="1"/>
  <c r="AN25" i="6"/>
  <c r="AO25" i="6" s="1"/>
  <c r="AM25" i="6"/>
  <c r="AP25" i="6" s="1"/>
  <c r="AN26" i="6"/>
  <c r="AO26" i="6" s="1"/>
  <c r="AM26" i="6"/>
  <c r="AP26" i="6" s="1"/>
  <c r="AM27" i="6"/>
  <c r="AP27" i="6" s="1"/>
  <c r="AN27" i="6"/>
  <c r="AO27" i="6" s="1"/>
  <c r="AN28" i="6"/>
  <c r="AO28" i="6" s="1"/>
  <c r="AM28" i="6"/>
  <c r="AP28" i="6" s="1"/>
  <c r="AM29" i="6"/>
  <c r="AP29" i="6" s="1"/>
  <c r="AN29" i="6"/>
  <c r="AO29" i="6" s="1"/>
  <c r="AN30" i="6"/>
  <c r="AO30" i="6" s="1"/>
  <c r="AM30" i="6"/>
  <c r="AP30" i="6" s="1"/>
  <c r="AN31" i="6"/>
  <c r="AO31" i="6" s="1"/>
  <c r="AM31" i="6"/>
  <c r="AP31" i="6" s="1"/>
  <c r="AN32" i="6"/>
  <c r="AO32" i="6" s="1"/>
  <c r="AM32" i="6"/>
  <c r="AP32" i="6" s="1"/>
  <c r="AN33" i="6"/>
  <c r="AO33" i="6" s="1"/>
  <c r="AM33" i="6"/>
  <c r="AP33" i="6" s="1"/>
  <c r="AN34" i="6"/>
  <c r="AO34" i="6" s="1"/>
  <c r="AM34" i="6"/>
  <c r="AP34" i="6" s="1"/>
  <c r="AM35" i="6"/>
  <c r="AP35" i="6" s="1"/>
  <c r="AN35" i="6"/>
  <c r="AO35" i="6" s="1"/>
  <c r="AM36" i="6"/>
  <c r="AP36" i="6" s="1"/>
  <c r="AN36" i="6"/>
  <c r="AO36" i="6" s="1"/>
  <c r="AM37" i="6"/>
  <c r="AP37" i="6" s="1"/>
  <c r="AN37" i="6"/>
  <c r="AO37" i="6" s="1"/>
  <c r="AM38" i="6"/>
  <c r="AP38" i="6" s="1"/>
  <c r="AN38" i="6"/>
  <c r="AO38" i="6" s="1"/>
  <c r="AM39" i="6"/>
  <c r="AP39" i="6" s="1"/>
  <c r="AN39" i="6"/>
  <c r="AO39" i="6" s="1"/>
  <c r="AN40" i="6"/>
  <c r="AO40" i="6" s="1"/>
  <c r="AM40" i="6"/>
  <c r="AP40" i="6" s="1"/>
  <c r="AN41" i="6"/>
  <c r="AO41" i="6" s="1"/>
  <c r="AM41" i="6"/>
  <c r="AP41" i="6" s="1"/>
  <c r="AN42" i="6"/>
  <c r="AO42" i="6" s="1"/>
  <c r="AM42" i="6"/>
  <c r="AP42" i="6" s="1"/>
  <c r="AM43" i="6"/>
  <c r="AP43" i="6" s="1"/>
  <c r="AN43" i="6"/>
  <c r="AO43" i="6" s="1"/>
  <c r="AM44" i="6"/>
  <c r="AP44" i="6" s="1"/>
  <c r="AN44" i="6"/>
  <c r="AO44" i="6" s="1"/>
  <c r="AM45" i="6"/>
  <c r="AP45" i="6" s="1"/>
  <c r="AN45" i="6"/>
  <c r="AO45" i="6" s="1"/>
  <c r="AM46" i="6"/>
  <c r="AP46" i="6" s="1"/>
  <c r="AN46" i="6"/>
  <c r="AO46" i="6" s="1"/>
  <c r="AM47" i="6"/>
  <c r="AP47" i="6" s="1"/>
  <c r="AN47" i="6"/>
  <c r="AO47" i="6" s="1"/>
  <c r="AM48" i="6"/>
  <c r="AP48" i="6" s="1"/>
  <c r="AN48" i="6"/>
  <c r="AO48" i="6" s="1"/>
  <c r="AM49" i="6"/>
  <c r="AP49" i="6" s="1"/>
  <c r="AN49" i="6"/>
  <c r="AO49" i="6" s="1"/>
  <c r="AM50" i="6"/>
  <c r="AP50" i="6" s="1"/>
  <c r="AN50" i="6"/>
  <c r="AO50" i="6" s="1"/>
  <c r="AN51" i="6"/>
  <c r="AO51" i="6" s="1"/>
  <c r="AM51" i="6"/>
  <c r="AP51" i="6" s="1"/>
  <c r="AN52" i="6"/>
  <c r="AO52" i="6" s="1"/>
  <c r="AM52" i="6"/>
  <c r="AP52" i="6" s="1"/>
  <c r="AN53" i="6"/>
  <c r="AO53" i="6" s="1"/>
  <c r="AM53" i="6"/>
  <c r="AP53" i="6" s="1"/>
  <c r="AN54" i="6"/>
  <c r="AO54" i="6" s="1"/>
  <c r="AM54" i="6"/>
  <c r="AP54" i="6" s="1"/>
  <c r="AN55" i="6"/>
  <c r="AO55" i="6" s="1"/>
  <c r="AM55" i="6"/>
  <c r="AP55" i="6" s="1"/>
  <c r="AM56" i="6"/>
  <c r="AP56" i="6" s="1"/>
  <c r="AN56" i="6"/>
  <c r="AO56" i="6" s="1"/>
  <c r="AM57" i="6"/>
  <c r="AP57" i="6" s="1"/>
  <c r="AN57" i="6"/>
  <c r="AO57" i="6" s="1"/>
  <c r="AM58" i="6"/>
  <c r="AP58" i="6" s="1"/>
  <c r="AN58" i="6"/>
  <c r="AO58" i="6" s="1"/>
  <c r="AM59" i="6"/>
  <c r="AP59" i="6" s="1"/>
  <c r="AN59" i="6"/>
  <c r="AO59" i="6" s="1"/>
  <c r="AN60" i="6"/>
  <c r="AO60" i="6" s="1"/>
  <c r="AM60" i="6"/>
  <c r="AP60" i="6" s="1"/>
  <c r="AM61" i="6"/>
  <c r="AP61" i="6" s="1"/>
  <c r="AN61" i="6"/>
  <c r="AO61" i="6" s="1"/>
  <c r="AM62" i="6"/>
  <c r="AP62" i="6" s="1"/>
  <c r="AN62" i="6"/>
  <c r="AO62" i="6" s="1"/>
  <c r="AM63" i="6"/>
  <c r="AP63" i="6" s="1"/>
  <c r="AN63" i="6"/>
  <c r="AO63" i="6" s="1"/>
  <c r="AM64" i="6"/>
  <c r="AP64" i="6" s="1"/>
  <c r="AN64" i="6"/>
  <c r="AO64" i="6" s="1"/>
  <c r="AN65" i="6"/>
  <c r="AO65" i="6" s="1"/>
  <c r="AM65" i="6"/>
  <c r="AP65" i="6" s="1"/>
  <c r="AM66" i="6"/>
  <c r="AP66" i="6" s="1"/>
  <c r="AN66" i="6"/>
  <c r="AO66" i="6" s="1"/>
  <c r="AM67" i="6"/>
  <c r="AP67" i="6" s="1"/>
  <c r="AN67" i="6"/>
  <c r="AO67" i="6" s="1"/>
  <c r="AM68" i="6"/>
  <c r="AP68" i="6" s="1"/>
  <c r="AN68" i="6"/>
  <c r="AO68" i="6" s="1"/>
  <c r="AM69" i="6"/>
  <c r="AP69" i="6" s="1"/>
  <c r="AN69" i="6"/>
  <c r="AO69" i="6" s="1"/>
  <c r="AM70" i="6"/>
  <c r="AP70" i="6" s="1"/>
  <c r="AN70" i="6"/>
  <c r="AO70" i="6" s="1"/>
  <c r="AN71" i="6"/>
  <c r="AO71" i="6" s="1"/>
  <c r="AM71" i="6"/>
  <c r="AP71" i="6" s="1"/>
  <c r="AM72" i="6"/>
  <c r="AP72" i="6" s="1"/>
  <c r="AN72" i="6"/>
  <c r="AO72" i="6" s="1"/>
  <c r="AM73" i="6"/>
  <c r="AP73" i="6" s="1"/>
  <c r="AN73" i="6"/>
  <c r="AO73" i="6" s="1"/>
  <c r="AM74" i="6"/>
  <c r="AP74" i="6" s="1"/>
  <c r="AN74" i="6"/>
  <c r="AO74" i="6" s="1"/>
  <c r="AN75" i="6"/>
  <c r="AO75" i="6" s="1"/>
  <c r="AM75" i="6"/>
  <c r="AP75" i="6" s="1"/>
  <c r="AM76" i="6"/>
  <c r="AP76" i="6" s="1"/>
  <c r="AN76" i="6"/>
  <c r="AO76" i="6" s="1"/>
  <c r="AM77" i="6"/>
  <c r="AP77" i="6" s="1"/>
  <c r="AN77" i="6"/>
  <c r="AO77" i="6" s="1"/>
  <c r="AN78" i="6"/>
  <c r="AO78" i="6" s="1"/>
  <c r="AM78" i="6"/>
  <c r="AP78" i="6" s="1"/>
  <c r="AM79" i="6"/>
  <c r="AP79" i="6" s="1"/>
  <c r="AN79" i="6"/>
  <c r="AO79" i="6" s="1"/>
  <c r="AN80" i="6"/>
  <c r="AO80" i="6" s="1"/>
  <c r="AM80" i="6"/>
  <c r="AP80" i="6" s="1"/>
  <c r="AN81" i="6"/>
  <c r="AO81" i="6" s="1"/>
  <c r="AM81" i="6"/>
  <c r="AP81" i="6" s="1"/>
  <c r="AN82" i="6"/>
  <c r="AO82" i="6" s="1"/>
  <c r="AM82" i="6"/>
  <c r="AP82" i="6" s="1"/>
  <c r="AM83" i="6"/>
  <c r="AP83" i="6" s="1"/>
  <c r="AN83" i="6"/>
  <c r="AO83" i="6" s="1"/>
  <c r="AN84" i="6"/>
  <c r="AO84" i="6" s="1"/>
  <c r="AM84" i="6"/>
  <c r="AP84" i="6" s="1"/>
  <c r="AN85" i="6"/>
  <c r="AO85" i="6" s="1"/>
  <c r="AM85" i="6"/>
  <c r="AP85" i="6" s="1"/>
  <c r="AM86" i="6"/>
  <c r="AP86" i="6" s="1"/>
  <c r="AN86" i="6"/>
  <c r="AO86" i="6" s="1"/>
  <c r="AM87" i="6"/>
  <c r="AP87" i="6" s="1"/>
  <c r="AN87" i="6"/>
  <c r="AO87" i="6" s="1"/>
  <c r="AM88" i="6"/>
  <c r="AP88" i="6" s="1"/>
  <c r="AN88" i="6"/>
  <c r="AO88" i="6" s="1"/>
  <c r="AM89" i="6"/>
  <c r="AP89" i="6" s="1"/>
  <c r="AN89" i="6"/>
  <c r="AO89" i="6" s="1"/>
  <c r="AN90" i="6"/>
  <c r="AO90" i="6" s="1"/>
  <c r="AM90" i="6"/>
  <c r="AP90" i="6" s="1"/>
  <c r="AM91" i="6"/>
  <c r="AP91" i="6" s="1"/>
  <c r="AN91" i="6"/>
  <c r="AO91" i="6" s="1"/>
  <c r="AM92" i="6"/>
  <c r="AP92" i="6" s="1"/>
  <c r="AN92" i="6"/>
  <c r="AO92" i="6" s="1"/>
  <c r="AM93" i="6"/>
  <c r="AP93" i="6" s="1"/>
  <c r="AN93" i="6"/>
  <c r="AO93" i="6" s="1"/>
  <c r="AM94" i="6"/>
  <c r="AP94" i="6" s="1"/>
  <c r="AN94" i="6"/>
  <c r="AO94" i="6" s="1"/>
  <c r="AN95" i="6"/>
  <c r="AO95" i="6" s="1"/>
  <c r="AM95" i="6"/>
  <c r="AP95" i="6" s="1"/>
  <c r="AN96" i="6"/>
  <c r="AO96" i="6" s="1"/>
  <c r="AM96" i="6"/>
  <c r="AP96" i="6" s="1"/>
  <c r="AN97" i="6"/>
  <c r="AO97" i="6" s="1"/>
  <c r="AM97" i="6"/>
  <c r="AP97" i="6" s="1"/>
  <c r="AN98" i="6"/>
  <c r="AO98" i="6" s="1"/>
  <c r="AM98" i="6"/>
  <c r="AP98" i="6" s="1"/>
  <c r="AN99" i="6"/>
  <c r="AO99" i="6" s="1"/>
  <c r="AM99" i="6"/>
  <c r="AP99" i="6" s="1"/>
  <c r="AN100" i="6"/>
  <c r="AO100" i="6" s="1"/>
  <c r="AM100" i="6"/>
  <c r="AP100" i="6" s="1"/>
  <c r="AN101" i="6"/>
  <c r="AO101" i="6" s="1"/>
  <c r="AM101" i="6"/>
  <c r="AP101" i="6" s="1"/>
  <c r="AN102" i="6"/>
  <c r="AO102" i="6" s="1"/>
  <c r="AM102" i="6"/>
  <c r="AP102" i="6" s="1"/>
  <c r="AN103" i="6"/>
  <c r="AO103" i="6" s="1"/>
  <c r="AM103" i="6"/>
  <c r="AP103" i="6" s="1"/>
  <c r="AM104" i="6"/>
  <c r="AP104" i="6" s="1"/>
  <c r="AN104" i="6"/>
  <c r="AO104" i="6" s="1"/>
  <c r="V12" i="1"/>
  <c r="W12" i="1" s="1"/>
  <c r="N45" i="4"/>
  <c r="N46" i="4"/>
  <c r="N47" i="4"/>
  <c r="N64" i="4"/>
  <c r="N48" i="4"/>
  <c r="N49" i="4"/>
  <c r="N50" i="4"/>
  <c r="N51" i="4"/>
  <c r="N53" i="4"/>
  <c r="N54" i="4"/>
  <c r="N40" i="4"/>
  <c r="N34" i="4"/>
  <c r="N35" i="4"/>
  <c r="N63" i="4"/>
  <c r="N36" i="4"/>
  <c r="N37" i="4"/>
  <c r="N38" i="4"/>
  <c r="N52" i="4"/>
  <c r="N65" i="4"/>
  <c r="N59" i="4"/>
  <c r="N56" i="4"/>
  <c r="N39" i="4"/>
  <c r="N41" i="4"/>
  <c r="N57" i="4"/>
  <c r="N61" i="4"/>
  <c r="N42" i="4"/>
  <c r="N58" i="4"/>
  <c r="N62" i="4"/>
  <c r="N26" i="4"/>
  <c r="N28" i="4"/>
  <c r="N43" i="4"/>
  <c r="N44" i="4"/>
  <c r="N60" i="4"/>
  <c r="N29" i="4"/>
  <c r="N30" i="4"/>
  <c r="N55" i="4"/>
  <c r="N31" i="4"/>
  <c r="N32" i="4"/>
  <c r="N33" i="4"/>
  <c r="N27" i="4"/>
  <c r="S5" i="1" l="1"/>
  <c r="T5" i="1"/>
  <c r="U5" i="1" s="1"/>
  <c r="S7" i="1"/>
  <c r="T7" i="1"/>
  <c r="U7" i="1" s="1"/>
  <c r="S10" i="1"/>
  <c r="T10" i="1"/>
  <c r="U10" i="1" s="1"/>
  <c r="S11" i="1"/>
  <c r="T11" i="1"/>
  <c r="U11" i="1" s="1"/>
  <c r="S12" i="1"/>
  <c r="T12" i="1"/>
  <c r="U12" i="1" s="1"/>
  <c r="T13" i="1"/>
  <c r="U13" i="1" s="1"/>
  <c r="S13" i="1"/>
  <c r="T14" i="1"/>
  <c r="U14" i="1" s="1"/>
  <c r="S14" i="1"/>
  <c r="B45" i="4"/>
  <c r="J45" i="4"/>
  <c r="I45" i="4"/>
  <c r="H45" i="4"/>
  <c r="G45" i="4"/>
  <c r="F45" i="4"/>
  <c r="E45" i="4"/>
  <c r="D45" i="4"/>
  <c r="C45" i="4"/>
  <c r="K45" i="4"/>
  <c r="B46" i="4"/>
  <c r="J46" i="4"/>
  <c r="I46" i="4"/>
  <c r="H46" i="4"/>
  <c r="G46" i="4"/>
  <c r="F46" i="4"/>
  <c r="E46" i="4"/>
  <c r="D46" i="4"/>
  <c r="C46" i="4"/>
  <c r="K46" i="4"/>
  <c r="B47" i="4"/>
  <c r="J47" i="4"/>
  <c r="I47" i="4"/>
  <c r="H47" i="4"/>
  <c r="G47" i="4"/>
  <c r="F47" i="4"/>
  <c r="E47" i="4"/>
  <c r="D47" i="4"/>
  <c r="C47" i="4"/>
  <c r="K47" i="4"/>
  <c r="B64" i="4"/>
  <c r="J64" i="4"/>
  <c r="I64" i="4"/>
  <c r="H64" i="4"/>
  <c r="G64" i="4"/>
  <c r="F64" i="4"/>
  <c r="E64" i="4"/>
  <c r="D64" i="4"/>
  <c r="C64" i="4"/>
  <c r="K64" i="4"/>
  <c r="B48" i="4"/>
  <c r="J48" i="4"/>
  <c r="I48" i="4"/>
  <c r="H48" i="4"/>
  <c r="G48" i="4"/>
  <c r="F48" i="4"/>
  <c r="E48" i="4"/>
  <c r="D48" i="4"/>
  <c r="C48" i="4"/>
  <c r="K48" i="4"/>
  <c r="B49" i="4"/>
  <c r="J49" i="4"/>
  <c r="I49" i="4"/>
  <c r="H49" i="4"/>
  <c r="G49" i="4"/>
  <c r="F49" i="4"/>
  <c r="E49" i="4"/>
  <c r="D49" i="4"/>
  <c r="C49" i="4"/>
  <c r="K49" i="4"/>
  <c r="B50" i="4"/>
  <c r="J50" i="4"/>
  <c r="I50" i="4"/>
  <c r="H50" i="4"/>
  <c r="G50" i="4"/>
  <c r="F50" i="4"/>
  <c r="E50" i="4"/>
  <c r="D50" i="4"/>
  <c r="C50" i="4"/>
  <c r="K50" i="4"/>
  <c r="B51" i="4"/>
  <c r="J51" i="4"/>
  <c r="I51" i="4"/>
  <c r="H51" i="4"/>
  <c r="G51" i="4"/>
  <c r="F51" i="4"/>
  <c r="E51" i="4"/>
  <c r="D51" i="4"/>
  <c r="C51" i="4"/>
  <c r="K51" i="4"/>
  <c r="B53" i="4"/>
  <c r="J53" i="4"/>
  <c r="I53" i="4"/>
  <c r="H53" i="4"/>
  <c r="G53" i="4"/>
  <c r="F53" i="4"/>
  <c r="E53" i="4"/>
  <c r="D53" i="4"/>
  <c r="C53" i="4"/>
  <c r="K53" i="4"/>
  <c r="B54" i="4"/>
  <c r="J54" i="4"/>
  <c r="I54" i="4"/>
  <c r="H54" i="4"/>
  <c r="G54" i="4"/>
  <c r="F54" i="4"/>
  <c r="E54" i="4"/>
  <c r="D54" i="4"/>
  <c r="C54" i="4"/>
  <c r="K54" i="4"/>
  <c r="B40" i="4"/>
  <c r="J40" i="4"/>
  <c r="I40" i="4"/>
  <c r="H40" i="4"/>
  <c r="G40" i="4"/>
  <c r="F40" i="4"/>
  <c r="E40" i="4"/>
  <c r="D40" i="4"/>
  <c r="C40" i="4"/>
  <c r="K40" i="4"/>
  <c r="B34" i="4"/>
  <c r="J34" i="4"/>
  <c r="I34" i="4"/>
  <c r="H34" i="4"/>
  <c r="G34" i="4"/>
  <c r="F34" i="4"/>
  <c r="E34" i="4"/>
  <c r="D34" i="4"/>
  <c r="C34" i="4"/>
  <c r="K34" i="4"/>
  <c r="B35" i="4"/>
  <c r="J35" i="4"/>
  <c r="I35" i="4"/>
  <c r="H35" i="4"/>
  <c r="G35" i="4"/>
  <c r="F35" i="4"/>
  <c r="E35" i="4"/>
  <c r="D35" i="4"/>
  <c r="C35" i="4"/>
  <c r="K35" i="4"/>
  <c r="B63" i="4"/>
  <c r="J63" i="4"/>
  <c r="I63" i="4"/>
  <c r="H63" i="4"/>
  <c r="G63" i="4"/>
  <c r="F63" i="4"/>
  <c r="E63" i="4"/>
  <c r="D63" i="4"/>
  <c r="C63" i="4"/>
  <c r="K63" i="4"/>
  <c r="B36" i="4"/>
  <c r="J36" i="4"/>
  <c r="I36" i="4"/>
  <c r="H36" i="4"/>
  <c r="G36" i="4"/>
  <c r="F36" i="4"/>
  <c r="E36" i="4"/>
  <c r="D36" i="4"/>
  <c r="C36" i="4"/>
  <c r="K36" i="4"/>
  <c r="B37" i="4"/>
  <c r="J37" i="4"/>
  <c r="I37" i="4"/>
  <c r="H37" i="4"/>
  <c r="G37" i="4"/>
  <c r="F37" i="4"/>
  <c r="E37" i="4"/>
  <c r="D37" i="4"/>
  <c r="C37" i="4"/>
  <c r="K37" i="4"/>
  <c r="B38" i="4"/>
  <c r="J38" i="4"/>
  <c r="I38" i="4"/>
  <c r="H38" i="4"/>
  <c r="G38" i="4"/>
  <c r="F38" i="4"/>
  <c r="E38" i="4"/>
  <c r="D38" i="4"/>
  <c r="C38" i="4"/>
  <c r="K38" i="4"/>
  <c r="B52" i="4"/>
  <c r="J52" i="4"/>
  <c r="I52" i="4"/>
  <c r="H52" i="4"/>
  <c r="G52" i="4"/>
  <c r="F52" i="4"/>
  <c r="E52" i="4"/>
  <c r="D52" i="4"/>
  <c r="C52" i="4"/>
  <c r="K52" i="4"/>
  <c r="B65" i="4"/>
  <c r="J65" i="4"/>
  <c r="I65" i="4"/>
  <c r="H65" i="4"/>
  <c r="G65" i="4"/>
  <c r="F65" i="4"/>
  <c r="E65" i="4"/>
  <c r="D65" i="4"/>
  <c r="C65" i="4"/>
  <c r="K65" i="4"/>
  <c r="B59" i="4"/>
  <c r="J59" i="4"/>
  <c r="I59" i="4"/>
  <c r="H59" i="4"/>
  <c r="G59" i="4"/>
  <c r="F59" i="4"/>
  <c r="E59" i="4"/>
  <c r="D59" i="4"/>
  <c r="C59" i="4"/>
  <c r="K59" i="4"/>
  <c r="B56" i="4"/>
  <c r="J56" i="4"/>
  <c r="I56" i="4"/>
  <c r="H56" i="4"/>
  <c r="G56" i="4"/>
  <c r="F56" i="4"/>
  <c r="E56" i="4"/>
  <c r="D56" i="4"/>
  <c r="C56" i="4"/>
  <c r="K56" i="4"/>
  <c r="B39" i="4"/>
  <c r="J39" i="4"/>
  <c r="I39" i="4"/>
  <c r="H39" i="4"/>
  <c r="G39" i="4"/>
  <c r="F39" i="4"/>
  <c r="E39" i="4"/>
  <c r="D39" i="4"/>
  <c r="C39" i="4"/>
  <c r="K39" i="4"/>
  <c r="B41" i="4"/>
  <c r="J41" i="4"/>
  <c r="I41" i="4"/>
  <c r="H41" i="4"/>
  <c r="G41" i="4"/>
  <c r="F41" i="4"/>
  <c r="E41" i="4"/>
  <c r="D41" i="4"/>
  <c r="C41" i="4"/>
  <c r="K41" i="4"/>
  <c r="B57" i="4"/>
  <c r="J57" i="4"/>
  <c r="I57" i="4"/>
  <c r="H57" i="4"/>
  <c r="G57" i="4"/>
  <c r="F57" i="4"/>
  <c r="E57" i="4"/>
  <c r="D57" i="4"/>
  <c r="C57" i="4"/>
  <c r="K57" i="4"/>
  <c r="B61" i="4"/>
  <c r="J61" i="4"/>
  <c r="I61" i="4"/>
  <c r="H61" i="4"/>
  <c r="G61" i="4"/>
  <c r="F61" i="4"/>
  <c r="E61" i="4"/>
  <c r="D61" i="4"/>
  <c r="C61" i="4"/>
  <c r="K61" i="4"/>
  <c r="B42" i="4"/>
  <c r="J42" i="4"/>
  <c r="I42" i="4"/>
  <c r="H42" i="4"/>
  <c r="G42" i="4"/>
  <c r="F42" i="4"/>
  <c r="E42" i="4"/>
  <c r="D42" i="4"/>
  <c r="C42" i="4"/>
  <c r="K42" i="4"/>
  <c r="B58" i="4"/>
  <c r="J58" i="4"/>
  <c r="I58" i="4"/>
  <c r="H58" i="4"/>
  <c r="G58" i="4"/>
  <c r="F58" i="4"/>
  <c r="E58" i="4"/>
  <c r="D58" i="4"/>
  <c r="C58" i="4"/>
  <c r="K58" i="4"/>
  <c r="B62" i="4"/>
  <c r="J62" i="4"/>
  <c r="I62" i="4"/>
  <c r="H62" i="4"/>
  <c r="G62" i="4"/>
  <c r="F62" i="4"/>
  <c r="E62" i="4"/>
  <c r="D62" i="4"/>
  <c r="C62" i="4"/>
  <c r="K62" i="4"/>
  <c r="B26" i="4"/>
  <c r="J26" i="4"/>
  <c r="I26" i="4"/>
  <c r="H26" i="4"/>
  <c r="G26" i="4"/>
  <c r="F26" i="4"/>
  <c r="E26" i="4"/>
  <c r="D26" i="4"/>
  <c r="C26" i="4"/>
  <c r="K26" i="4"/>
  <c r="B28" i="4"/>
  <c r="J28" i="4"/>
  <c r="I28" i="4"/>
  <c r="H28" i="4"/>
  <c r="G28" i="4"/>
  <c r="F28" i="4"/>
  <c r="E28" i="4"/>
  <c r="D28" i="4"/>
  <c r="C28" i="4"/>
  <c r="K28" i="4"/>
  <c r="B43" i="4"/>
  <c r="J43" i="4"/>
  <c r="I43" i="4"/>
  <c r="H43" i="4"/>
  <c r="G43" i="4"/>
  <c r="F43" i="4"/>
  <c r="E43" i="4"/>
  <c r="D43" i="4"/>
  <c r="C43" i="4"/>
  <c r="K43" i="4"/>
  <c r="B44" i="4"/>
  <c r="J44" i="4"/>
  <c r="I44" i="4"/>
  <c r="H44" i="4"/>
  <c r="G44" i="4"/>
  <c r="F44" i="4"/>
  <c r="E44" i="4"/>
  <c r="D44" i="4"/>
  <c r="C44" i="4"/>
  <c r="K44" i="4"/>
  <c r="B60" i="4"/>
  <c r="J60" i="4"/>
  <c r="I60" i="4"/>
  <c r="H60" i="4"/>
  <c r="G60" i="4"/>
  <c r="F60" i="4"/>
  <c r="E60" i="4"/>
  <c r="D60" i="4"/>
  <c r="C60" i="4"/>
  <c r="K60" i="4"/>
  <c r="B29" i="4"/>
  <c r="J29" i="4"/>
  <c r="I29" i="4"/>
  <c r="H29" i="4"/>
  <c r="G29" i="4"/>
  <c r="F29" i="4"/>
  <c r="E29" i="4"/>
  <c r="D29" i="4"/>
  <c r="C29" i="4"/>
  <c r="K29" i="4"/>
  <c r="B30" i="4"/>
  <c r="J30" i="4"/>
  <c r="I30" i="4"/>
  <c r="H30" i="4"/>
  <c r="G30" i="4"/>
  <c r="F30" i="4"/>
  <c r="E30" i="4"/>
  <c r="D30" i="4"/>
  <c r="C30" i="4"/>
  <c r="K30" i="4"/>
  <c r="B55" i="4"/>
  <c r="J55" i="4"/>
  <c r="I55" i="4"/>
  <c r="H55" i="4"/>
  <c r="G55" i="4"/>
  <c r="F55" i="4"/>
  <c r="E55" i="4"/>
  <c r="D55" i="4"/>
  <c r="C55" i="4"/>
  <c r="K55" i="4"/>
  <c r="B31" i="4"/>
  <c r="J31" i="4"/>
  <c r="I31" i="4"/>
  <c r="H31" i="4"/>
  <c r="G31" i="4"/>
  <c r="F31" i="4"/>
  <c r="E31" i="4"/>
  <c r="D31" i="4"/>
  <c r="C31" i="4"/>
  <c r="K31" i="4"/>
  <c r="B32" i="4"/>
  <c r="J32" i="4"/>
  <c r="I32" i="4"/>
  <c r="H32" i="4"/>
  <c r="G32" i="4"/>
  <c r="F32" i="4"/>
  <c r="E32" i="4"/>
  <c r="D32" i="4"/>
  <c r="C32" i="4"/>
  <c r="K32" i="4"/>
  <c r="B33" i="4"/>
  <c r="J33" i="4"/>
  <c r="I33" i="4"/>
  <c r="H33" i="4"/>
  <c r="G33" i="4"/>
  <c r="F33" i="4"/>
  <c r="E33" i="4"/>
  <c r="D33" i="4"/>
  <c r="C33" i="4"/>
  <c r="K33" i="4"/>
  <c r="B27" i="4"/>
  <c r="J27" i="4"/>
  <c r="I27" i="4"/>
  <c r="H27" i="4"/>
  <c r="G27" i="4"/>
  <c r="F27" i="4"/>
  <c r="E27" i="4"/>
  <c r="D27" i="4"/>
  <c r="C27" i="4"/>
  <c r="K27" i="4"/>
  <c r="AR8" i="6"/>
  <c r="AR12" i="6"/>
  <c r="AR13" i="6"/>
  <c r="AR14" i="6"/>
  <c r="AR15" i="6"/>
  <c r="AS15" i="6" s="1"/>
  <c r="AT15" i="6" s="1"/>
  <c r="AU15" i="6" s="1"/>
  <c r="AV15" i="6" s="1"/>
  <c r="AW15" i="6" s="1"/>
  <c r="AX15" i="6" s="1"/>
  <c r="AY15" i="6" s="1"/>
  <c r="AZ15" i="6" s="1"/>
  <c r="BA15" i="6" s="1"/>
  <c r="BB15" i="6" s="1"/>
  <c r="BC15" i="6" s="1"/>
  <c r="BD15" i="6" s="1"/>
  <c r="BE15" i="6" s="1"/>
  <c r="BF15" i="6" s="1"/>
  <c r="BG15" i="6" s="1"/>
  <c r="BH15" i="6" s="1"/>
  <c r="BI15" i="6" s="1"/>
  <c r="BJ15" i="6" s="1"/>
  <c r="BK15" i="6" s="1"/>
  <c r="BL15" i="6" s="1"/>
  <c r="BM15" i="6" s="1"/>
  <c r="BN15" i="6" s="1"/>
  <c r="BO15" i="6" s="1"/>
  <c r="BP15" i="6" s="1"/>
  <c r="BQ15" i="6" s="1"/>
  <c r="BR15" i="6" s="1"/>
  <c r="BS15" i="6" s="1"/>
  <c r="BT15" i="6" s="1"/>
  <c r="AS16" i="6"/>
  <c r="AT16" i="6" s="1"/>
  <c r="AU16" i="6" s="1"/>
  <c r="AV16" i="6" s="1"/>
  <c r="AW16" i="6" s="1"/>
  <c r="AX16" i="6" s="1"/>
  <c r="AY16" i="6" s="1"/>
  <c r="AZ16" i="6" s="1"/>
  <c r="BA16" i="6" s="1"/>
  <c r="BB16" i="6" s="1"/>
  <c r="BC16" i="6" s="1"/>
  <c r="BD16" i="6" s="1"/>
  <c r="BE16" i="6" s="1"/>
  <c r="BF16" i="6" s="1"/>
  <c r="BG16" i="6" s="1"/>
  <c r="BH16" i="6" s="1"/>
  <c r="BI16" i="6" s="1"/>
  <c r="BJ16" i="6" s="1"/>
  <c r="BK16" i="6" s="1"/>
  <c r="BL16" i="6" s="1"/>
  <c r="BM16" i="6" s="1"/>
  <c r="BN16" i="6" s="1"/>
  <c r="BO16" i="6" s="1"/>
  <c r="BP16" i="6" s="1"/>
  <c r="BQ16" i="6" s="1"/>
  <c r="BR16" i="6" s="1"/>
  <c r="BS16" i="6" s="1"/>
  <c r="BT16" i="6" s="1"/>
  <c r="AR17" i="6"/>
  <c r="AS17" i="6" s="1"/>
  <c r="AT17" i="6" s="1"/>
  <c r="AU17" i="6" s="1"/>
  <c r="AV17" i="6" s="1"/>
  <c r="AW17" i="6" s="1"/>
  <c r="AX17" i="6" s="1"/>
  <c r="AY17" i="6" s="1"/>
  <c r="AZ17" i="6" s="1"/>
  <c r="BA17" i="6" s="1"/>
  <c r="BB17" i="6" s="1"/>
  <c r="BC17" i="6" s="1"/>
  <c r="BD17" i="6" s="1"/>
  <c r="BE17" i="6" s="1"/>
  <c r="BF17" i="6" s="1"/>
  <c r="BG17" i="6" s="1"/>
  <c r="BH17" i="6" s="1"/>
  <c r="BI17" i="6" s="1"/>
  <c r="BJ17" i="6" s="1"/>
  <c r="BK17" i="6" s="1"/>
  <c r="BL17" i="6" s="1"/>
  <c r="BM17" i="6" s="1"/>
  <c r="BN17" i="6" s="1"/>
  <c r="BO17" i="6" s="1"/>
  <c r="BP17" i="6" s="1"/>
  <c r="BQ17" i="6" s="1"/>
  <c r="BR17" i="6" s="1"/>
  <c r="BS17" i="6" s="1"/>
  <c r="BT17" i="6" s="1"/>
  <c r="AR18" i="6"/>
  <c r="AS18" i="6" s="1"/>
  <c r="AT18" i="6" s="1"/>
  <c r="AU18" i="6" s="1"/>
  <c r="AV18" i="6" s="1"/>
  <c r="AW18" i="6" s="1"/>
  <c r="AX18" i="6" s="1"/>
  <c r="AY18" i="6" s="1"/>
  <c r="AZ18" i="6" s="1"/>
  <c r="BA18" i="6" s="1"/>
  <c r="BB18" i="6" s="1"/>
  <c r="BC18" i="6" s="1"/>
  <c r="BD18" i="6" s="1"/>
  <c r="BE18" i="6" s="1"/>
  <c r="BF18" i="6" s="1"/>
  <c r="BG18" i="6" s="1"/>
  <c r="BH18" i="6" s="1"/>
  <c r="BI18" i="6" s="1"/>
  <c r="BJ18" i="6" s="1"/>
  <c r="BK18" i="6" s="1"/>
  <c r="BL18" i="6" s="1"/>
  <c r="BM18" i="6" s="1"/>
  <c r="BN18" i="6" s="1"/>
  <c r="BO18" i="6" s="1"/>
  <c r="BP18" i="6" s="1"/>
  <c r="BQ18" i="6" s="1"/>
  <c r="BR18" i="6" s="1"/>
  <c r="BS18" i="6" s="1"/>
  <c r="BT18" i="6" s="1"/>
  <c r="AR19" i="6"/>
  <c r="AS19" i="6" s="1"/>
  <c r="AT19" i="6" s="1"/>
  <c r="AU19" i="6" s="1"/>
  <c r="AV19" i="6" s="1"/>
  <c r="AW19" i="6" s="1"/>
  <c r="AX19" i="6" s="1"/>
  <c r="AY19" i="6" s="1"/>
  <c r="AZ19" i="6" s="1"/>
  <c r="BA19" i="6" s="1"/>
  <c r="BB19" i="6" s="1"/>
  <c r="BC19" i="6" s="1"/>
  <c r="BD19" i="6" s="1"/>
  <c r="BE19" i="6" s="1"/>
  <c r="BF19" i="6" s="1"/>
  <c r="BG19" i="6" s="1"/>
  <c r="BH19" i="6" s="1"/>
  <c r="BI19" i="6" s="1"/>
  <c r="BJ19" i="6" s="1"/>
  <c r="BK19" i="6" s="1"/>
  <c r="BL19" i="6" s="1"/>
  <c r="BM19" i="6" s="1"/>
  <c r="BN19" i="6" s="1"/>
  <c r="BO19" i="6" s="1"/>
  <c r="BP19" i="6" s="1"/>
  <c r="BQ19" i="6" s="1"/>
  <c r="BR19" i="6" s="1"/>
  <c r="BS19" i="6" s="1"/>
  <c r="BT19" i="6" s="1"/>
  <c r="AR20" i="6"/>
  <c r="AS20" i="6" s="1"/>
  <c r="AT20" i="6" s="1"/>
  <c r="AU20" i="6" s="1"/>
  <c r="AV20" i="6" s="1"/>
  <c r="AW20" i="6" s="1"/>
  <c r="AX20" i="6" s="1"/>
  <c r="AY20" i="6" s="1"/>
  <c r="AZ20" i="6" s="1"/>
  <c r="BA20" i="6" s="1"/>
  <c r="BB20" i="6" s="1"/>
  <c r="BC20" i="6" s="1"/>
  <c r="BD20" i="6" s="1"/>
  <c r="BE20" i="6" s="1"/>
  <c r="BF20" i="6" s="1"/>
  <c r="BG20" i="6" s="1"/>
  <c r="BH20" i="6" s="1"/>
  <c r="BI20" i="6" s="1"/>
  <c r="BJ20" i="6" s="1"/>
  <c r="BK20" i="6" s="1"/>
  <c r="BL20" i="6" s="1"/>
  <c r="BM20" i="6" s="1"/>
  <c r="BN20" i="6" s="1"/>
  <c r="BO20" i="6" s="1"/>
  <c r="BP20" i="6" s="1"/>
  <c r="BQ20" i="6" s="1"/>
  <c r="BR20" i="6" s="1"/>
  <c r="BS20" i="6" s="1"/>
  <c r="BT20" i="6" s="1"/>
  <c r="AS21" i="6"/>
  <c r="AT21" i="6" s="1"/>
  <c r="AU21" i="6" s="1"/>
  <c r="AV21" i="6" s="1"/>
  <c r="AW21" i="6" s="1"/>
  <c r="AX21" i="6" s="1"/>
  <c r="AY21" i="6" s="1"/>
  <c r="AZ21" i="6" s="1"/>
  <c r="BA21" i="6" s="1"/>
  <c r="BB21" i="6" s="1"/>
  <c r="BC21" i="6" s="1"/>
  <c r="BD21" i="6" s="1"/>
  <c r="BE21" i="6" s="1"/>
  <c r="BF21" i="6" s="1"/>
  <c r="BG21" i="6" s="1"/>
  <c r="BH21" i="6" s="1"/>
  <c r="BI21" i="6" s="1"/>
  <c r="BJ21" i="6" s="1"/>
  <c r="BK21" i="6" s="1"/>
  <c r="BL21" i="6" s="1"/>
  <c r="BM21" i="6" s="1"/>
  <c r="BN21" i="6" s="1"/>
  <c r="BO21" i="6" s="1"/>
  <c r="BP21" i="6" s="1"/>
  <c r="BQ21" i="6" s="1"/>
  <c r="BR21" i="6" s="1"/>
  <c r="BS21" i="6" s="1"/>
  <c r="BT21" i="6" s="1"/>
  <c r="AT22" i="6"/>
  <c r="AU22" i="6" s="1"/>
  <c r="AV22" i="6" s="1"/>
  <c r="AW22" i="6" s="1"/>
  <c r="AX22" i="6" s="1"/>
  <c r="AY22" i="6" s="1"/>
  <c r="AZ22" i="6" s="1"/>
  <c r="BA22" i="6" s="1"/>
  <c r="BB22" i="6" s="1"/>
  <c r="BC22" i="6" s="1"/>
  <c r="BD22" i="6" s="1"/>
  <c r="BE22" i="6" s="1"/>
  <c r="BF22" i="6" s="1"/>
  <c r="BG22" i="6" s="1"/>
  <c r="BH22" i="6" s="1"/>
  <c r="BI22" i="6" s="1"/>
  <c r="BJ22" i="6" s="1"/>
  <c r="BK22" i="6" s="1"/>
  <c r="BL22" i="6" s="1"/>
  <c r="BM22" i="6" s="1"/>
  <c r="BN22" i="6" s="1"/>
  <c r="BO22" i="6" s="1"/>
  <c r="BP22" i="6" s="1"/>
  <c r="BQ22" i="6" s="1"/>
  <c r="BR22" i="6" s="1"/>
  <c r="BS22" i="6" s="1"/>
  <c r="BT22" i="6" s="1"/>
  <c r="AR23" i="6"/>
  <c r="AS23" i="6" s="1"/>
  <c r="AT23" i="6" s="1"/>
  <c r="AU23" i="6" s="1"/>
  <c r="AV23" i="6" s="1"/>
  <c r="AW23" i="6" s="1"/>
  <c r="AX23" i="6" s="1"/>
  <c r="AY23" i="6" s="1"/>
  <c r="AZ23" i="6" s="1"/>
  <c r="BA23" i="6" s="1"/>
  <c r="BB23" i="6" s="1"/>
  <c r="BC23" i="6" s="1"/>
  <c r="BD23" i="6" s="1"/>
  <c r="BE23" i="6" s="1"/>
  <c r="BF23" i="6" s="1"/>
  <c r="BG23" i="6" s="1"/>
  <c r="BH23" i="6" s="1"/>
  <c r="BI23" i="6" s="1"/>
  <c r="BJ23" i="6" s="1"/>
  <c r="BK23" i="6" s="1"/>
  <c r="BL23" i="6" s="1"/>
  <c r="BM23" i="6" s="1"/>
  <c r="BN23" i="6" s="1"/>
  <c r="BO23" i="6" s="1"/>
  <c r="BP23" i="6" s="1"/>
  <c r="BQ23" i="6" s="1"/>
  <c r="BR23" i="6" s="1"/>
  <c r="BS23" i="6" s="1"/>
  <c r="BT23" i="6" s="1"/>
  <c r="AR24" i="6"/>
  <c r="AS24" i="6" s="1"/>
  <c r="AT24" i="6" s="1"/>
  <c r="AU24" i="6" s="1"/>
  <c r="AV24" i="6" s="1"/>
  <c r="AW24" i="6" s="1"/>
  <c r="AX24" i="6" s="1"/>
  <c r="AY24" i="6" s="1"/>
  <c r="AZ24" i="6" s="1"/>
  <c r="BA24" i="6" s="1"/>
  <c r="BB24" i="6" s="1"/>
  <c r="BC24" i="6" s="1"/>
  <c r="BD24" i="6" s="1"/>
  <c r="BE24" i="6" s="1"/>
  <c r="BF24" i="6" s="1"/>
  <c r="BG24" i="6" s="1"/>
  <c r="BH24" i="6" s="1"/>
  <c r="BI24" i="6" s="1"/>
  <c r="BJ24" i="6" s="1"/>
  <c r="BK24" i="6" s="1"/>
  <c r="BL24" i="6" s="1"/>
  <c r="BM24" i="6" s="1"/>
  <c r="BN24" i="6" s="1"/>
  <c r="BO24" i="6" s="1"/>
  <c r="BP24" i="6" s="1"/>
  <c r="BQ24" i="6" s="1"/>
  <c r="BR24" i="6" s="1"/>
  <c r="BS24" i="6" s="1"/>
  <c r="BT24" i="6" s="1"/>
  <c r="AR25" i="6"/>
  <c r="AS25" i="6" s="1"/>
  <c r="AT25" i="6" s="1"/>
  <c r="AU25" i="6" s="1"/>
  <c r="AV25" i="6" s="1"/>
  <c r="AW25" i="6" s="1"/>
  <c r="AX25" i="6" s="1"/>
  <c r="AY25" i="6" s="1"/>
  <c r="AZ25" i="6" s="1"/>
  <c r="BA25" i="6" s="1"/>
  <c r="BB25" i="6" s="1"/>
  <c r="BC25" i="6" s="1"/>
  <c r="BD25" i="6" s="1"/>
  <c r="BE25" i="6" s="1"/>
  <c r="BF25" i="6" s="1"/>
  <c r="BG25" i="6" s="1"/>
  <c r="BH25" i="6" s="1"/>
  <c r="BI25" i="6" s="1"/>
  <c r="BJ25" i="6" s="1"/>
  <c r="BK25" i="6" s="1"/>
  <c r="BL25" i="6" s="1"/>
  <c r="BM25" i="6" s="1"/>
  <c r="BN25" i="6" s="1"/>
  <c r="BO25" i="6" s="1"/>
  <c r="BP25" i="6" s="1"/>
  <c r="BQ25" i="6" s="1"/>
  <c r="BR25" i="6" s="1"/>
  <c r="BS25" i="6" s="1"/>
  <c r="BT25" i="6" s="1"/>
  <c r="AR26" i="6"/>
  <c r="AS26" i="6" s="1"/>
  <c r="AT26" i="6" s="1"/>
  <c r="AU26" i="6" s="1"/>
  <c r="AV26" i="6" s="1"/>
  <c r="AW26" i="6" s="1"/>
  <c r="AX26" i="6" s="1"/>
  <c r="AY26" i="6" s="1"/>
  <c r="AZ26" i="6" s="1"/>
  <c r="BA26" i="6" s="1"/>
  <c r="BB26" i="6" s="1"/>
  <c r="BC26" i="6" s="1"/>
  <c r="BD26" i="6" s="1"/>
  <c r="BE26" i="6" s="1"/>
  <c r="BF26" i="6" s="1"/>
  <c r="BG26" i="6" s="1"/>
  <c r="BH26" i="6" s="1"/>
  <c r="BI26" i="6" s="1"/>
  <c r="BJ26" i="6" s="1"/>
  <c r="BK26" i="6" s="1"/>
  <c r="BL26" i="6" s="1"/>
  <c r="BM26" i="6" s="1"/>
  <c r="BN26" i="6" s="1"/>
  <c r="BO26" i="6" s="1"/>
  <c r="BP26" i="6" s="1"/>
  <c r="BQ26" i="6" s="1"/>
  <c r="BR26" i="6" s="1"/>
  <c r="BS26" i="6" s="1"/>
  <c r="BT26" i="6" s="1"/>
  <c r="AR39" i="6"/>
  <c r="AS39" i="6" s="1"/>
  <c r="AT39" i="6" s="1"/>
  <c r="AU39" i="6" s="1"/>
  <c r="AV39" i="6" s="1"/>
  <c r="AW39" i="6" s="1"/>
  <c r="AX39" i="6" s="1"/>
  <c r="AY39" i="6" s="1"/>
  <c r="AZ39" i="6" s="1"/>
  <c r="BA39" i="6" s="1"/>
  <c r="BB39" i="6" s="1"/>
  <c r="BC39" i="6" s="1"/>
  <c r="BD39" i="6" s="1"/>
  <c r="BE39" i="6" s="1"/>
  <c r="BF39" i="6" s="1"/>
  <c r="BG39" i="6" s="1"/>
  <c r="BH39" i="6" s="1"/>
  <c r="BI39" i="6" s="1"/>
  <c r="BJ39" i="6" s="1"/>
  <c r="BK39" i="6" s="1"/>
  <c r="BL39" i="6" s="1"/>
  <c r="BM39" i="6" s="1"/>
  <c r="BN39" i="6" s="1"/>
  <c r="BO39" i="6" s="1"/>
  <c r="BP39" i="6" s="1"/>
  <c r="BQ39" i="6" s="1"/>
  <c r="BR39" i="6" s="1"/>
  <c r="BS39" i="6" s="1"/>
  <c r="BT39" i="6" s="1"/>
  <c r="BF40" i="6"/>
  <c r="BG40" i="6" s="1"/>
  <c r="BH40" i="6" s="1"/>
  <c r="BI40" i="6" s="1"/>
  <c r="BJ40" i="6" s="1"/>
  <c r="BK40" i="6" s="1"/>
  <c r="BL40" i="6" s="1"/>
  <c r="BM40" i="6" s="1"/>
  <c r="BN40" i="6" s="1"/>
  <c r="BO40" i="6" s="1"/>
  <c r="BP40" i="6" s="1"/>
  <c r="BQ40" i="6" s="1"/>
  <c r="BR40" i="6" s="1"/>
  <c r="BS40" i="6" s="1"/>
  <c r="BT40" i="6" s="1"/>
  <c r="AR5" i="6"/>
  <c r="AR9" i="6"/>
  <c r="AT27" i="6"/>
  <c r="AU27" i="6" s="1"/>
  <c r="AV27" i="6" s="1"/>
  <c r="AW27" i="6" s="1"/>
  <c r="AX27" i="6" s="1"/>
  <c r="AY27" i="6" s="1"/>
  <c r="AZ27" i="6" s="1"/>
  <c r="BA27" i="6" s="1"/>
  <c r="BB27" i="6" s="1"/>
  <c r="BC27" i="6" s="1"/>
  <c r="BD27" i="6" s="1"/>
  <c r="BE27" i="6" s="1"/>
  <c r="BF27" i="6" s="1"/>
  <c r="BG27" i="6" s="1"/>
  <c r="BH27" i="6" s="1"/>
  <c r="BI27" i="6" s="1"/>
  <c r="BJ27" i="6" s="1"/>
  <c r="BK27" i="6" s="1"/>
  <c r="BL27" i="6" s="1"/>
  <c r="BM27" i="6" s="1"/>
  <c r="BN27" i="6" s="1"/>
  <c r="BO27" i="6" s="1"/>
  <c r="BP27" i="6" s="1"/>
  <c r="BQ27" i="6" s="1"/>
  <c r="BR27" i="6" s="1"/>
  <c r="BS27" i="6" s="1"/>
  <c r="BT27" i="6" s="1"/>
  <c r="AR28" i="6"/>
  <c r="AS28" i="6" s="1"/>
  <c r="AT28" i="6" s="1"/>
  <c r="AU28" i="6" s="1"/>
  <c r="AV28" i="6" s="1"/>
  <c r="AW28" i="6" s="1"/>
  <c r="AX28" i="6" s="1"/>
  <c r="AY28" i="6" s="1"/>
  <c r="AZ28" i="6" s="1"/>
  <c r="BA28" i="6" s="1"/>
  <c r="BB28" i="6" s="1"/>
  <c r="BC28" i="6" s="1"/>
  <c r="BD28" i="6" s="1"/>
  <c r="BE28" i="6" s="1"/>
  <c r="BF28" i="6" s="1"/>
  <c r="BG28" i="6" s="1"/>
  <c r="BH28" i="6" s="1"/>
  <c r="BI28" i="6" s="1"/>
  <c r="BJ28" i="6" s="1"/>
  <c r="BK28" i="6" s="1"/>
  <c r="BL28" i="6" s="1"/>
  <c r="BM28" i="6" s="1"/>
  <c r="BN28" i="6" s="1"/>
  <c r="BO28" i="6" s="1"/>
  <c r="BP28" i="6" s="1"/>
  <c r="BQ28" i="6" s="1"/>
  <c r="BR28" i="6" s="1"/>
  <c r="BS28" i="6" s="1"/>
  <c r="BT28" i="6" s="1"/>
  <c r="AV29" i="6"/>
  <c r="AW29" i="6" s="1"/>
  <c r="AX29" i="6" s="1"/>
  <c r="AY29" i="6" s="1"/>
  <c r="AZ29" i="6" s="1"/>
  <c r="BA29" i="6" s="1"/>
  <c r="BB29" i="6" s="1"/>
  <c r="BC29" i="6" s="1"/>
  <c r="BD29" i="6" s="1"/>
  <c r="BE29" i="6" s="1"/>
  <c r="BF29" i="6" s="1"/>
  <c r="BG29" i="6" s="1"/>
  <c r="BH29" i="6" s="1"/>
  <c r="BI29" i="6" s="1"/>
  <c r="BJ29" i="6" s="1"/>
  <c r="BK29" i="6" s="1"/>
  <c r="BL29" i="6" s="1"/>
  <c r="BM29" i="6" s="1"/>
  <c r="BN29" i="6" s="1"/>
  <c r="BO29" i="6" s="1"/>
  <c r="BP29" i="6" s="1"/>
  <c r="BQ29" i="6" s="1"/>
  <c r="BR29" i="6" s="1"/>
  <c r="BS29" i="6" s="1"/>
  <c r="BT29" i="6" s="1"/>
  <c r="AR30" i="6"/>
  <c r="AS30" i="6" s="1"/>
  <c r="AT30" i="6" s="1"/>
  <c r="AU30" i="6" s="1"/>
  <c r="AV30" i="6" s="1"/>
  <c r="AW30" i="6" s="1"/>
  <c r="AX30" i="6" s="1"/>
  <c r="AY30" i="6" s="1"/>
  <c r="AZ30" i="6" s="1"/>
  <c r="BA30" i="6" s="1"/>
  <c r="BB30" i="6" s="1"/>
  <c r="BC30" i="6" s="1"/>
  <c r="BD30" i="6" s="1"/>
  <c r="BE30" i="6" s="1"/>
  <c r="BF30" i="6" s="1"/>
  <c r="BG30" i="6" s="1"/>
  <c r="BH30" i="6" s="1"/>
  <c r="BI30" i="6" s="1"/>
  <c r="BJ30" i="6" s="1"/>
  <c r="BK30" i="6" s="1"/>
  <c r="BL30" i="6" s="1"/>
  <c r="BM30" i="6" s="1"/>
  <c r="BN30" i="6" s="1"/>
  <c r="BO30" i="6" s="1"/>
  <c r="BP30" i="6" s="1"/>
  <c r="BQ30" i="6" s="1"/>
  <c r="BR30" i="6" s="1"/>
  <c r="BS30" i="6" s="1"/>
  <c r="BT30" i="6" s="1"/>
  <c r="AR31" i="6"/>
  <c r="AS31" i="6" s="1"/>
  <c r="AT31" i="6" s="1"/>
  <c r="AU31" i="6" s="1"/>
  <c r="AV31" i="6" s="1"/>
  <c r="AW31" i="6" s="1"/>
  <c r="AX31" i="6" s="1"/>
  <c r="AY31" i="6" s="1"/>
  <c r="AZ31" i="6" s="1"/>
  <c r="BA31" i="6" s="1"/>
  <c r="BB31" i="6" s="1"/>
  <c r="BC31" i="6" s="1"/>
  <c r="BD31" i="6" s="1"/>
  <c r="BE31" i="6" s="1"/>
  <c r="BF31" i="6" s="1"/>
  <c r="BG31" i="6" s="1"/>
  <c r="BH31" i="6" s="1"/>
  <c r="BI31" i="6" s="1"/>
  <c r="BJ31" i="6" s="1"/>
  <c r="BK31" i="6" s="1"/>
  <c r="BL31" i="6" s="1"/>
  <c r="BM31" i="6" s="1"/>
  <c r="BN31" i="6" s="1"/>
  <c r="BO31" i="6" s="1"/>
  <c r="BP31" i="6" s="1"/>
  <c r="BQ31" i="6" s="1"/>
  <c r="BR31" i="6" s="1"/>
  <c r="BS31" i="6" s="1"/>
  <c r="BT31" i="6" s="1"/>
  <c r="AU32" i="6"/>
  <c r="AV32" i="6" s="1"/>
  <c r="AW32" i="6" s="1"/>
  <c r="AX32" i="6" s="1"/>
  <c r="AY32" i="6" s="1"/>
  <c r="AZ32" i="6" s="1"/>
  <c r="BA32" i="6" s="1"/>
  <c r="BB32" i="6" s="1"/>
  <c r="BC32" i="6" s="1"/>
  <c r="BD32" i="6" s="1"/>
  <c r="BE32" i="6" s="1"/>
  <c r="BF32" i="6" s="1"/>
  <c r="BG32" i="6" s="1"/>
  <c r="BH32" i="6" s="1"/>
  <c r="BI32" i="6" s="1"/>
  <c r="BJ32" i="6" s="1"/>
  <c r="BK32" i="6" s="1"/>
  <c r="BL32" i="6" s="1"/>
  <c r="BM32" i="6" s="1"/>
  <c r="BN32" i="6" s="1"/>
  <c r="BO32" i="6" s="1"/>
  <c r="BP32" i="6" s="1"/>
  <c r="BQ32" i="6" s="1"/>
  <c r="BR32" i="6" s="1"/>
  <c r="BS32" i="6" s="1"/>
  <c r="BT32" i="6" s="1"/>
  <c r="AR33" i="6"/>
  <c r="AS33" i="6" s="1"/>
  <c r="AT33" i="6" s="1"/>
  <c r="AU33" i="6" s="1"/>
  <c r="AV33" i="6" s="1"/>
  <c r="AW33" i="6" s="1"/>
  <c r="AX33" i="6" s="1"/>
  <c r="AY33" i="6" s="1"/>
  <c r="AZ33" i="6" s="1"/>
  <c r="BA33" i="6" s="1"/>
  <c r="BB33" i="6" s="1"/>
  <c r="BC33" i="6" s="1"/>
  <c r="BD33" i="6" s="1"/>
  <c r="BE33" i="6" s="1"/>
  <c r="BF33" i="6" s="1"/>
  <c r="BG33" i="6" s="1"/>
  <c r="BH33" i="6" s="1"/>
  <c r="BI33" i="6" s="1"/>
  <c r="BJ33" i="6" s="1"/>
  <c r="BK33" i="6" s="1"/>
  <c r="BL33" i="6" s="1"/>
  <c r="BM33" i="6" s="1"/>
  <c r="BN33" i="6" s="1"/>
  <c r="BO33" i="6" s="1"/>
  <c r="BP33" i="6" s="1"/>
  <c r="BQ33" i="6" s="1"/>
  <c r="BR33" i="6" s="1"/>
  <c r="BS33" i="6" s="1"/>
  <c r="BT33" i="6" s="1"/>
  <c r="AU34" i="6"/>
  <c r="AV34" i="6" s="1"/>
  <c r="AW34" i="6" s="1"/>
  <c r="AX34" i="6" s="1"/>
  <c r="AY34" i="6" s="1"/>
  <c r="AZ34" i="6" s="1"/>
  <c r="BA34" i="6" s="1"/>
  <c r="BB34" i="6" s="1"/>
  <c r="BC34" i="6" s="1"/>
  <c r="BD34" i="6" s="1"/>
  <c r="BE34" i="6" s="1"/>
  <c r="BF34" i="6" s="1"/>
  <c r="BG34" i="6" s="1"/>
  <c r="BH34" i="6" s="1"/>
  <c r="BI34" i="6" s="1"/>
  <c r="BJ34" i="6" s="1"/>
  <c r="BK34" i="6" s="1"/>
  <c r="BL34" i="6" s="1"/>
  <c r="BM34" i="6" s="1"/>
  <c r="BN34" i="6" s="1"/>
  <c r="BO34" i="6" s="1"/>
  <c r="BP34" i="6" s="1"/>
  <c r="BQ34" i="6" s="1"/>
  <c r="BR34" i="6" s="1"/>
  <c r="BS34" i="6" s="1"/>
  <c r="BT34" i="6" s="1"/>
  <c r="AR35" i="6"/>
  <c r="AS35" i="6" s="1"/>
  <c r="AT35" i="6" s="1"/>
  <c r="AU35" i="6" s="1"/>
  <c r="AV35" i="6" s="1"/>
  <c r="AW35" i="6" s="1"/>
  <c r="AX35" i="6" s="1"/>
  <c r="AY35" i="6" s="1"/>
  <c r="AZ35" i="6" s="1"/>
  <c r="BA35" i="6" s="1"/>
  <c r="BB35" i="6" s="1"/>
  <c r="BC35" i="6" s="1"/>
  <c r="BD35" i="6" s="1"/>
  <c r="BE35" i="6" s="1"/>
  <c r="BF35" i="6" s="1"/>
  <c r="BG35" i="6" s="1"/>
  <c r="BH35" i="6" s="1"/>
  <c r="BI35" i="6" s="1"/>
  <c r="BJ35" i="6" s="1"/>
  <c r="BK35" i="6" s="1"/>
  <c r="BL35" i="6" s="1"/>
  <c r="BM35" i="6" s="1"/>
  <c r="BN35" i="6" s="1"/>
  <c r="BO35" i="6" s="1"/>
  <c r="BP35" i="6" s="1"/>
  <c r="BQ35" i="6" s="1"/>
  <c r="BR35" i="6" s="1"/>
  <c r="BS35" i="6" s="1"/>
  <c r="BT35" i="6" s="1"/>
  <c r="AS36" i="6"/>
  <c r="AT36" i="6" s="1"/>
  <c r="AU36" i="6" s="1"/>
  <c r="AV36" i="6" s="1"/>
  <c r="AW36" i="6" s="1"/>
  <c r="AX36" i="6" s="1"/>
  <c r="AY36" i="6" s="1"/>
  <c r="AZ36" i="6" s="1"/>
  <c r="BA36" i="6" s="1"/>
  <c r="BB36" i="6" s="1"/>
  <c r="BC36" i="6" s="1"/>
  <c r="BD36" i="6" s="1"/>
  <c r="BE36" i="6" s="1"/>
  <c r="BF36" i="6" s="1"/>
  <c r="BG36" i="6" s="1"/>
  <c r="BH36" i="6" s="1"/>
  <c r="BI36" i="6" s="1"/>
  <c r="BJ36" i="6" s="1"/>
  <c r="BK36" i="6" s="1"/>
  <c r="BL36" i="6" s="1"/>
  <c r="BM36" i="6" s="1"/>
  <c r="BN36" i="6" s="1"/>
  <c r="BO36" i="6" s="1"/>
  <c r="BP36" i="6" s="1"/>
  <c r="BQ36" i="6" s="1"/>
  <c r="BR36" i="6" s="1"/>
  <c r="BS36" i="6" s="1"/>
  <c r="BT36" i="6" s="1"/>
  <c r="AR37" i="6"/>
  <c r="AS37" i="6" s="1"/>
  <c r="AT37" i="6" s="1"/>
  <c r="AU37" i="6" s="1"/>
  <c r="AV37" i="6" s="1"/>
  <c r="AW37" i="6" s="1"/>
  <c r="AX37" i="6" s="1"/>
  <c r="AY37" i="6" s="1"/>
  <c r="AZ37" i="6" s="1"/>
  <c r="BA37" i="6" s="1"/>
  <c r="BB37" i="6" s="1"/>
  <c r="BC37" i="6" s="1"/>
  <c r="BD37" i="6" s="1"/>
  <c r="BE37" i="6" s="1"/>
  <c r="BF37" i="6" s="1"/>
  <c r="BG37" i="6" s="1"/>
  <c r="BH37" i="6" s="1"/>
  <c r="BI37" i="6" s="1"/>
  <c r="BJ37" i="6" s="1"/>
  <c r="BK37" i="6" s="1"/>
  <c r="BL37" i="6" s="1"/>
  <c r="BM37" i="6" s="1"/>
  <c r="BN37" i="6" s="1"/>
  <c r="BO37" i="6" s="1"/>
  <c r="BP37" i="6" s="1"/>
  <c r="BQ37" i="6" s="1"/>
  <c r="BR37" i="6" s="1"/>
  <c r="BS37" i="6" s="1"/>
  <c r="BT37" i="6" s="1"/>
  <c r="AS38" i="6"/>
  <c r="AT38" i="6" s="1"/>
  <c r="AU38" i="6" s="1"/>
  <c r="AV38" i="6" s="1"/>
  <c r="AW38" i="6" s="1"/>
  <c r="AX38" i="6" s="1"/>
  <c r="AY38" i="6" s="1"/>
  <c r="AZ38" i="6" s="1"/>
  <c r="BA38" i="6" s="1"/>
  <c r="BB38" i="6" s="1"/>
  <c r="BC38" i="6" s="1"/>
  <c r="BD38" i="6" s="1"/>
  <c r="BE38" i="6" s="1"/>
  <c r="BF38" i="6" s="1"/>
  <c r="BG38" i="6" s="1"/>
  <c r="BH38" i="6" s="1"/>
  <c r="BI38" i="6" s="1"/>
  <c r="BJ38" i="6" s="1"/>
  <c r="BK38" i="6" s="1"/>
  <c r="BL38" i="6" s="1"/>
  <c r="BM38" i="6" s="1"/>
  <c r="BN38" i="6" s="1"/>
  <c r="BO38" i="6" s="1"/>
  <c r="BP38" i="6" s="1"/>
  <c r="BQ38" i="6" s="1"/>
  <c r="BR38" i="6" s="1"/>
  <c r="BS38" i="6" s="1"/>
  <c r="BT38" i="6" s="1"/>
  <c r="AR42" i="6"/>
  <c r="AS42" i="6" s="1"/>
  <c r="AT42" i="6" s="1"/>
  <c r="AU42" i="6" s="1"/>
  <c r="AV42" i="6" s="1"/>
  <c r="AW42" i="6" s="1"/>
  <c r="AX42" i="6" s="1"/>
  <c r="AY42" i="6" s="1"/>
  <c r="AZ42" i="6" s="1"/>
  <c r="BA42" i="6" s="1"/>
  <c r="BB42" i="6" s="1"/>
  <c r="BC42" i="6" s="1"/>
  <c r="BD42" i="6" s="1"/>
  <c r="BE42" i="6" s="1"/>
  <c r="BF42" i="6" s="1"/>
  <c r="BG42" i="6" s="1"/>
  <c r="BH42" i="6" s="1"/>
  <c r="BI42" i="6" s="1"/>
  <c r="BJ42" i="6" s="1"/>
  <c r="BK42" i="6" s="1"/>
  <c r="BL42" i="6" s="1"/>
  <c r="BM42" i="6" s="1"/>
  <c r="BN42" i="6" s="1"/>
  <c r="BO42" i="6" s="1"/>
  <c r="BP42" i="6" s="1"/>
  <c r="BQ42" i="6" s="1"/>
  <c r="BR42" i="6" s="1"/>
  <c r="BS42" i="6" s="1"/>
  <c r="BT42" i="6" s="1"/>
  <c r="AR43" i="6"/>
  <c r="AS43" i="6" s="1"/>
  <c r="AT43" i="6" s="1"/>
  <c r="AU43" i="6" s="1"/>
  <c r="AV43" i="6" s="1"/>
  <c r="AW43" i="6" s="1"/>
  <c r="AX43" i="6" s="1"/>
  <c r="AY43" i="6" s="1"/>
  <c r="AZ43" i="6" s="1"/>
  <c r="BA43" i="6" s="1"/>
  <c r="BB43" i="6" s="1"/>
  <c r="BC43" i="6" s="1"/>
  <c r="BD43" i="6" s="1"/>
  <c r="BE43" i="6" s="1"/>
  <c r="BF43" i="6" s="1"/>
  <c r="BG43" i="6" s="1"/>
  <c r="BH43" i="6" s="1"/>
  <c r="BI43" i="6" s="1"/>
  <c r="BJ43" i="6" s="1"/>
  <c r="BK43" i="6" s="1"/>
  <c r="BL43" i="6" s="1"/>
  <c r="BM43" i="6" s="1"/>
  <c r="BN43" i="6" s="1"/>
  <c r="BO43" i="6" s="1"/>
  <c r="BP43" i="6" s="1"/>
  <c r="BQ43" i="6" s="1"/>
  <c r="BR43" i="6" s="1"/>
  <c r="BS43" i="6" s="1"/>
  <c r="BT43" i="6" s="1"/>
  <c r="AR44" i="6"/>
  <c r="AS44" i="6" s="1"/>
  <c r="AT44" i="6" s="1"/>
  <c r="AU44" i="6" s="1"/>
  <c r="AV44" i="6" s="1"/>
  <c r="AW44" i="6" s="1"/>
  <c r="AX44" i="6" s="1"/>
  <c r="AY44" i="6" s="1"/>
  <c r="AZ44" i="6" s="1"/>
  <c r="BA44" i="6" s="1"/>
  <c r="BB44" i="6" s="1"/>
  <c r="BC44" i="6" s="1"/>
  <c r="BD44" i="6" s="1"/>
  <c r="BE44" i="6" s="1"/>
  <c r="BF44" i="6" s="1"/>
  <c r="BG44" i="6" s="1"/>
  <c r="BH44" i="6" s="1"/>
  <c r="BI44" i="6" s="1"/>
  <c r="BJ44" i="6" s="1"/>
  <c r="BK44" i="6" s="1"/>
  <c r="BL44" i="6" s="1"/>
  <c r="BM44" i="6" s="1"/>
  <c r="BN44" i="6" s="1"/>
  <c r="BO44" i="6" s="1"/>
  <c r="BP44" i="6" s="1"/>
  <c r="BQ44" i="6" s="1"/>
  <c r="BR44" i="6" s="1"/>
  <c r="BS44" i="6" s="1"/>
  <c r="BT44" i="6" s="1"/>
  <c r="AR45" i="6"/>
  <c r="AS45" i="6" s="1"/>
  <c r="AT45" i="6" s="1"/>
  <c r="AU45" i="6" s="1"/>
  <c r="AV45" i="6" s="1"/>
  <c r="AW45" i="6" s="1"/>
  <c r="AX45" i="6" s="1"/>
  <c r="AY45" i="6" s="1"/>
  <c r="AZ45" i="6" s="1"/>
  <c r="BA45" i="6" s="1"/>
  <c r="BB45" i="6" s="1"/>
  <c r="BC45" i="6" s="1"/>
  <c r="BD45" i="6" s="1"/>
  <c r="BE45" i="6" s="1"/>
  <c r="BF45" i="6" s="1"/>
  <c r="BG45" i="6" s="1"/>
  <c r="BH45" i="6" s="1"/>
  <c r="BI45" i="6" s="1"/>
  <c r="BJ45" i="6" s="1"/>
  <c r="BK45" i="6" s="1"/>
  <c r="BL45" i="6" s="1"/>
  <c r="BM45" i="6" s="1"/>
  <c r="BN45" i="6" s="1"/>
  <c r="BO45" i="6" s="1"/>
  <c r="BP45" i="6" s="1"/>
  <c r="BQ45" i="6" s="1"/>
  <c r="BR45" i="6" s="1"/>
  <c r="BS45" i="6" s="1"/>
  <c r="BT45" i="6" s="1"/>
  <c r="AS46" i="6"/>
  <c r="AT46" i="6" s="1"/>
  <c r="AU46" i="6" s="1"/>
  <c r="AV46" i="6" s="1"/>
  <c r="AW46" i="6" s="1"/>
  <c r="AX46" i="6" s="1"/>
  <c r="AY46" i="6" s="1"/>
  <c r="AZ46" i="6" s="1"/>
  <c r="BA46" i="6" s="1"/>
  <c r="BB46" i="6" s="1"/>
  <c r="BC46" i="6" s="1"/>
  <c r="BD46" i="6" s="1"/>
  <c r="BE46" i="6" s="1"/>
  <c r="BF46" i="6" s="1"/>
  <c r="BG46" i="6" s="1"/>
  <c r="BH46" i="6" s="1"/>
  <c r="BI46" i="6" s="1"/>
  <c r="BJ46" i="6" s="1"/>
  <c r="BK46" i="6" s="1"/>
  <c r="BL46" i="6" s="1"/>
  <c r="BM46" i="6" s="1"/>
  <c r="BN46" i="6" s="1"/>
  <c r="BO46" i="6" s="1"/>
  <c r="BP46" i="6" s="1"/>
  <c r="BQ46" i="6" s="1"/>
  <c r="BR46" i="6" s="1"/>
  <c r="BS46" i="6" s="1"/>
  <c r="BT46" i="6" s="1"/>
  <c r="AS47" i="6"/>
  <c r="AT47" i="6" s="1"/>
  <c r="AU47" i="6" s="1"/>
  <c r="AV47" i="6" s="1"/>
  <c r="AW47" i="6" s="1"/>
  <c r="AX47" i="6" s="1"/>
  <c r="AY47" i="6" s="1"/>
  <c r="AZ47" i="6" s="1"/>
  <c r="BA47" i="6" s="1"/>
  <c r="BB47" i="6" s="1"/>
  <c r="BC47" i="6" s="1"/>
  <c r="BD47" i="6" s="1"/>
  <c r="BE47" i="6" s="1"/>
  <c r="BF47" i="6" s="1"/>
  <c r="BG47" i="6" s="1"/>
  <c r="BH47" i="6" s="1"/>
  <c r="BI47" i="6" s="1"/>
  <c r="BJ47" i="6" s="1"/>
  <c r="BK47" i="6" s="1"/>
  <c r="BL47" i="6" s="1"/>
  <c r="BM47" i="6" s="1"/>
  <c r="BN47" i="6" s="1"/>
  <c r="BO47" i="6" s="1"/>
  <c r="BP47" i="6" s="1"/>
  <c r="BQ47" i="6" s="1"/>
  <c r="BR47" i="6" s="1"/>
  <c r="BS47" i="6" s="1"/>
  <c r="BT47" i="6" s="1"/>
  <c r="AR48" i="6"/>
  <c r="AS48" i="6" s="1"/>
  <c r="AT48" i="6" s="1"/>
  <c r="AU48" i="6" s="1"/>
  <c r="AV48" i="6" s="1"/>
  <c r="AW48" i="6" s="1"/>
  <c r="AX48" i="6" s="1"/>
  <c r="AY48" i="6" s="1"/>
  <c r="AZ48" i="6" s="1"/>
  <c r="BA48" i="6" s="1"/>
  <c r="BB48" i="6" s="1"/>
  <c r="BC48" i="6" s="1"/>
  <c r="BD48" i="6" s="1"/>
  <c r="BE48" i="6" s="1"/>
  <c r="BF48" i="6" s="1"/>
  <c r="BG48" i="6" s="1"/>
  <c r="BH48" i="6" s="1"/>
  <c r="BI48" i="6" s="1"/>
  <c r="BJ48" i="6" s="1"/>
  <c r="BK48" i="6" s="1"/>
  <c r="BL48" i="6" s="1"/>
  <c r="BM48" i="6" s="1"/>
  <c r="BN48" i="6" s="1"/>
  <c r="BO48" i="6" s="1"/>
  <c r="BP48" i="6" s="1"/>
  <c r="BQ48" i="6" s="1"/>
  <c r="BR48" i="6" s="1"/>
  <c r="BS48" i="6" s="1"/>
  <c r="BT48" i="6" s="1"/>
  <c r="BD49" i="6"/>
  <c r="BE49" i="6" s="1"/>
  <c r="BF49" i="6" s="1"/>
  <c r="BG49" i="6" s="1"/>
  <c r="BH49" i="6" s="1"/>
  <c r="BI49" i="6" s="1"/>
  <c r="BJ49" i="6" s="1"/>
  <c r="BK49" i="6" s="1"/>
  <c r="BL49" i="6" s="1"/>
  <c r="BM49" i="6" s="1"/>
  <c r="BN49" i="6" s="1"/>
  <c r="BO49" i="6" s="1"/>
  <c r="BP49" i="6" s="1"/>
  <c r="BQ49" i="6" s="1"/>
  <c r="BR49" i="6" s="1"/>
  <c r="BS49" i="6" s="1"/>
  <c r="BT49" i="6" s="1"/>
  <c r="AS50" i="6"/>
  <c r="AT50" i="6" s="1"/>
  <c r="AU50" i="6" s="1"/>
  <c r="AV50" i="6" s="1"/>
  <c r="AW50" i="6" s="1"/>
  <c r="AX50" i="6" s="1"/>
  <c r="AY50" i="6" s="1"/>
  <c r="AZ50" i="6" s="1"/>
  <c r="BA50" i="6" s="1"/>
  <c r="BB50" i="6" s="1"/>
  <c r="BC50" i="6" s="1"/>
  <c r="BD50" i="6" s="1"/>
  <c r="BE50" i="6" s="1"/>
  <c r="BF50" i="6" s="1"/>
  <c r="BG50" i="6" s="1"/>
  <c r="BH50" i="6" s="1"/>
  <c r="BI50" i="6" s="1"/>
  <c r="BJ50" i="6" s="1"/>
  <c r="BK50" i="6" s="1"/>
  <c r="BL50" i="6" s="1"/>
  <c r="BM50" i="6" s="1"/>
  <c r="BN50" i="6" s="1"/>
  <c r="BO50" i="6" s="1"/>
  <c r="BP50" i="6" s="1"/>
  <c r="BQ50" i="6" s="1"/>
  <c r="BR50" i="6" s="1"/>
  <c r="BS50" i="6" s="1"/>
  <c r="BT50" i="6" s="1"/>
  <c r="AS51" i="6"/>
  <c r="AT51" i="6" s="1"/>
  <c r="AU51" i="6" s="1"/>
  <c r="AV51" i="6" s="1"/>
  <c r="AW51" i="6" s="1"/>
  <c r="AX51" i="6" s="1"/>
  <c r="AY51" i="6" s="1"/>
  <c r="AZ51" i="6" s="1"/>
  <c r="BA51" i="6" s="1"/>
  <c r="BB51" i="6" s="1"/>
  <c r="BC51" i="6" s="1"/>
  <c r="BD51" i="6" s="1"/>
  <c r="BE51" i="6" s="1"/>
  <c r="BF51" i="6" s="1"/>
  <c r="BG51" i="6" s="1"/>
  <c r="BH51" i="6" s="1"/>
  <c r="BI51" i="6" s="1"/>
  <c r="BJ51" i="6" s="1"/>
  <c r="BK51" i="6" s="1"/>
  <c r="BL51" i="6" s="1"/>
  <c r="BM51" i="6" s="1"/>
  <c r="BN51" i="6" s="1"/>
  <c r="BO51" i="6" s="1"/>
  <c r="BP51" i="6" s="1"/>
  <c r="BQ51" i="6" s="1"/>
  <c r="BR51" i="6" s="1"/>
  <c r="BS51" i="6" s="1"/>
  <c r="BT51" i="6" s="1"/>
  <c r="AU52" i="6"/>
  <c r="AV52" i="6" s="1"/>
  <c r="AW52" i="6" s="1"/>
  <c r="AX52" i="6" s="1"/>
  <c r="AY52" i="6" s="1"/>
  <c r="AZ52" i="6" s="1"/>
  <c r="BA52" i="6" s="1"/>
  <c r="BB52" i="6" s="1"/>
  <c r="BC52" i="6" s="1"/>
  <c r="BD52" i="6" s="1"/>
  <c r="BE52" i="6" s="1"/>
  <c r="BF52" i="6" s="1"/>
  <c r="BG52" i="6" s="1"/>
  <c r="BH52" i="6" s="1"/>
  <c r="BI52" i="6" s="1"/>
  <c r="BJ52" i="6" s="1"/>
  <c r="BK52" i="6" s="1"/>
  <c r="BL52" i="6" s="1"/>
  <c r="BM52" i="6" s="1"/>
  <c r="BN52" i="6" s="1"/>
  <c r="BO52" i="6" s="1"/>
  <c r="BP52" i="6" s="1"/>
  <c r="BQ52" i="6" s="1"/>
  <c r="BR52" i="6" s="1"/>
  <c r="BS52" i="6" s="1"/>
  <c r="BT52" i="6" s="1"/>
  <c r="AU53" i="6"/>
  <c r="AV53" i="6" s="1"/>
  <c r="AW53" i="6" s="1"/>
  <c r="AX53" i="6" s="1"/>
  <c r="AY53" i="6" s="1"/>
  <c r="AZ53" i="6" s="1"/>
  <c r="BA53" i="6" s="1"/>
  <c r="BB53" i="6" s="1"/>
  <c r="BC53" i="6" s="1"/>
  <c r="BD53" i="6" s="1"/>
  <c r="BE53" i="6" s="1"/>
  <c r="BF53" i="6" s="1"/>
  <c r="BG53" i="6" s="1"/>
  <c r="BH53" i="6" s="1"/>
  <c r="BI53" i="6" s="1"/>
  <c r="BJ53" i="6" s="1"/>
  <c r="BK53" i="6" s="1"/>
  <c r="BL53" i="6" s="1"/>
  <c r="BM53" i="6" s="1"/>
  <c r="BN53" i="6" s="1"/>
  <c r="BO53" i="6" s="1"/>
  <c r="BP53" i="6" s="1"/>
  <c r="BQ53" i="6" s="1"/>
  <c r="BR53" i="6" s="1"/>
  <c r="BS53" i="6" s="1"/>
  <c r="BT53" i="6" s="1"/>
  <c r="AR54" i="6"/>
  <c r="AS54" i="6" s="1"/>
  <c r="AT54" i="6" s="1"/>
  <c r="AU54" i="6" s="1"/>
  <c r="AV54" i="6" s="1"/>
  <c r="AW54" i="6" s="1"/>
  <c r="AX54" i="6" s="1"/>
  <c r="AY54" i="6" s="1"/>
  <c r="AZ54" i="6" s="1"/>
  <c r="BA54" i="6" s="1"/>
  <c r="BB54" i="6" s="1"/>
  <c r="BC54" i="6" s="1"/>
  <c r="BD54" i="6" s="1"/>
  <c r="BE54" i="6" s="1"/>
  <c r="BF54" i="6" s="1"/>
  <c r="BG54" i="6" s="1"/>
  <c r="BH54" i="6" s="1"/>
  <c r="BI54" i="6" s="1"/>
  <c r="BJ54" i="6" s="1"/>
  <c r="BK54" i="6" s="1"/>
  <c r="BL54" i="6" s="1"/>
  <c r="BM54" i="6" s="1"/>
  <c r="BN54" i="6" s="1"/>
  <c r="BO54" i="6" s="1"/>
  <c r="BP54" i="6" s="1"/>
  <c r="BQ54" i="6" s="1"/>
  <c r="BR54" i="6" s="1"/>
  <c r="BS54" i="6" s="1"/>
  <c r="BT54" i="6" s="1"/>
  <c r="AR55" i="6"/>
  <c r="AS55" i="6" s="1"/>
  <c r="AT55" i="6" s="1"/>
  <c r="AU55" i="6" s="1"/>
  <c r="AV55" i="6" s="1"/>
  <c r="AW55" i="6" s="1"/>
  <c r="AX55" i="6" s="1"/>
  <c r="AY55" i="6" s="1"/>
  <c r="AZ55" i="6" s="1"/>
  <c r="BA55" i="6" s="1"/>
  <c r="BB55" i="6" s="1"/>
  <c r="BC55" i="6" s="1"/>
  <c r="BD55" i="6" s="1"/>
  <c r="BE55" i="6" s="1"/>
  <c r="BF55" i="6" s="1"/>
  <c r="BG55" i="6" s="1"/>
  <c r="BH55" i="6" s="1"/>
  <c r="BI55" i="6" s="1"/>
  <c r="BJ55" i="6" s="1"/>
  <c r="BK55" i="6" s="1"/>
  <c r="BL55" i="6" s="1"/>
  <c r="BM55" i="6" s="1"/>
  <c r="BN55" i="6" s="1"/>
  <c r="BO55" i="6" s="1"/>
  <c r="BP55" i="6" s="1"/>
  <c r="BQ55" i="6" s="1"/>
  <c r="BR55" i="6" s="1"/>
  <c r="BS55" i="6" s="1"/>
  <c r="BT55" i="6" s="1"/>
  <c r="AS56" i="6"/>
  <c r="AT56" i="6" s="1"/>
  <c r="AU56" i="6" s="1"/>
  <c r="AV56" i="6" s="1"/>
  <c r="AW56" i="6" s="1"/>
  <c r="AX56" i="6" s="1"/>
  <c r="AY56" i="6" s="1"/>
  <c r="AZ56" i="6" s="1"/>
  <c r="BA56" i="6" s="1"/>
  <c r="BB56" i="6" s="1"/>
  <c r="BC56" i="6" s="1"/>
  <c r="BD56" i="6" s="1"/>
  <c r="BE56" i="6" s="1"/>
  <c r="BF56" i="6" s="1"/>
  <c r="BG56" i="6" s="1"/>
  <c r="BH56" i="6" s="1"/>
  <c r="BI56" i="6" s="1"/>
  <c r="BJ56" i="6" s="1"/>
  <c r="BK56" i="6" s="1"/>
  <c r="BL56" i="6" s="1"/>
  <c r="BM56" i="6" s="1"/>
  <c r="BN56" i="6" s="1"/>
  <c r="BO56" i="6" s="1"/>
  <c r="BP56" i="6" s="1"/>
  <c r="BQ56" i="6" s="1"/>
  <c r="BR56" i="6" s="1"/>
  <c r="BS56" i="6" s="1"/>
  <c r="BT56" i="6" s="1"/>
  <c r="BR57" i="6"/>
  <c r="BS57" i="6" s="1"/>
  <c r="BT57" i="6" s="1"/>
  <c r="AT58" i="6"/>
  <c r="AU58" i="6" s="1"/>
  <c r="AV58" i="6" s="1"/>
  <c r="AW58" i="6" s="1"/>
  <c r="AX58" i="6" s="1"/>
  <c r="AY58" i="6" s="1"/>
  <c r="AZ58" i="6" s="1"/>
  <c r="BA58" i="6" s="1"/>
  <c r="BB58" i="6" s="1"/>
  <c r="BC58" i="6" s="1"/>
  <c r="BD58" i="6" s="1"/>
  <c r="BE58" i="6" s="1"/>
  <c r="BF58" i="6" s="1"/>
  <c r="BG58" i="6" s="1"/>
  <c r="BH58" i="6" s="1"/>
  <c r="BI58" i="6" s="1"/>
  <c r="BJ58" i="6" s="1"/>
  <c r="BK58" i="6" s="1"/>
  <c r="BL58" i="6" s="1"/>
  <c r="BM58" i="6" s="1"/>
  <c r="BN58" i="6" s="1"/>
  <c r="BO58" i="6" s="1"/>
  <c r="BP58" i="6" s="1"/>
  <c r="BQ58" i="6" s="1"/>
  <c r="BR58" i="6" s="1"/>
  <c r="BS58" i="6" s="1"/>
  <c r="BT58" i="6" s="1"/>
  <c r="BM59" i="6"/>
  <c r="BN59" i="6" s="1"/>
  <c r="BO59" i="6" s="1"/>
  <c r="BP59" i="6" s="1"/>
  <c r="BQ59" i="6" s="1"/>
  <c r="BR59" i="6" s="1"/>
  <c r="BS59" i="6" s="1"/>
  <c r="BT59" i="6" s="1"/>
  <c r="AT60" i="6"/>
  <c r="AU60" i="6" s="1"/>
  <c r="AV60" i="6" s="1"/>
  <c r="AW60" i="6" s="1"/>
  <c r="AX60" i="6" s="1"/>
  <c r="AY60" i="6" s="1"/>
  <c r="AZ60" i="6" s="1"/>
  <c r="BA60" i="6" s="1"/>
  <c r="BB60" i="6" s="1"/>
  <c r="BC60" i="6" s="1"/>
  <c r="BD60" i="6" s="1"/>
  <c r="BE60" i="6" s="1"/>
  <c r="BF60" i="6" s="1"/>
  <c r="BG60" i="6" s="1"/>
  <c r="BH60" i="6" s="1"/>
  <c r="BI60" i="6" s="1"/>
  <c r="BJ60" i="6" s="1"/>
  <c r="BK60" i="6" s="1"/>
  <c r="BL60" i="6" s="1"/>
  <c r="BM60" i="6" s="1"/>
  <c r="BN60" i="6" s="1"/>
  <c r="BO60" i="6" s="1"/>
  <c r="BP60" i="6" s="1"/>
  <c r="BQ60" i="6" s="1"/>
  <c r="BR60" i="6" s="1"/>
  <c r="BS60" i="6" s="1"/>
  <c r="BT60" i="6" s="1"/>
  <c r="AR61" i="6"/>
  <c r="AS61" i="6" s="1"/>
  <c r="AT61" i="6" s="1"/>
  <c r="AU61" i="6" s="1"/>
  <c r="AV61" i="6" s="1"/>
  <c r="AW61" i="6" s="1"/>
  <c r="AX61" i="6" s="1"/>
  <c r="AY61" i="6" s="1"/>
  <c r="AZ61" i="6" s="1"/>
  <c r="BA61" i="6" s="1"/>
  <c r="BB61" i="6" s="1"/>
  <c r="BC61" i="6" s="1"/>
  <c r="BD61" i="6" s="1"/>
  <c r="BE61" i="6" s="1"/>
  <c r="BF61" i="6" s="1"/>
  <c r="BG61" i="6" s="1"/>
  <c r="BH61" i="6" s="1"/>
  <c r="BI61" i="6" s="1"/>
  <c r="BJ61" i="6" s="1"/>
  <c r="BK61" i="6" s="1"/>
  <c r="BL61" i="6" s="1"/>
  <c r="BM61" i="6" s="1"/>
  <c r="BN61" i="6" s="1"/>
  <c r="BO61" i="6" s="1"/>
  <c r="BP61" i="6" s="1"/>
  <c r="BQ61" i="6" s="1"/>
  <c r="BR61" i="6" s="1"/>
  <c r="BS61" i="6" s="1"/>
  <c r="BT61" i="6" s="1"/>
  <c r="AR62" i="6"/>
  <c r="AS62" i="6" s="1"/>
  <c r="AT62" i="6" s="1"/>
  <c r="AU62" i="6" s="1"/>
  <c r="AV62" i="6" s="1"/>
  <c r="AW62" i="6" s="1"/>
  <c r="AX62" i="6" s="1"/>
  <c r="AY62" i="6" s="1"/>
  <c r="AZ62" i="6" s="1"/>
  <c r="BA62" i="6" s="1"/>
  <c r="BB62" i="6" s="1"/>
  <c r="BC62" i="6" s="1"/>
  <c r="BD62" i="6" s="1"/>
  <c r="BE62" i="6" s="1"/>
  <c r="BF62" i="6" s="1"/>
  <c r="BG62" i="6" s="1"/>
  <c r="BH62" i="6" s="1"/>
  <c r="BI62" i="6" s="1"/>
  <c r="BJ62" i="6" s="1"/>
  <c r="BK62" i="6" s="1"/>
  <c r="BL62" i="6" s="1"/>
  <c r="BM62" i="6" s="1"/>
  <c r="BN62" i="6" s="1"/>
  <c r="BO62" i="6" s="1"/>
  <c r="BP62" i="6" s="1"/>
  <c r="BQ62" i="6" s="1"/>
  <c r="BR62" i="6" s="1"/>
  <c r="BS62" i="6" s="1"/>
  <c r="BT62" i="6" s="1"/>
  <c r="AR63" i="6"/>
  <c r="AS63" i="6" s="1"/>
  <c r="AT63" i="6" s="1"/>
  <c r="AU63" i="6" s="1"/>
  <c r="AV63" i="6" s="1"/>
  <c r="AW63" i="6" s="1"/>
  <c r="AX63" i="6" s="1"/>
  <c r="AY63" i="6" s="1"/>
  <c r="AZ63" i="6" s="1"/>
  <c r="BA63" i="6" s="1"/>
  <c r="BB63" i="6" s="1"/>
  <c r="BC63" i="6" s="1"/>
  <c r="BD63" i="6" s="1"/>
  <c r="BE63" i="6" s="1"/>
  <c r="BF63" i="6" s="1"/>
  <c r="BG63" i="6" s="1"/>
  <c r="BH63" i="6" s="1"/>
  <c r="BI63" i="6" s="1"/>
  <c r="BJ63" i="6" s="1"/>
  <c r="BK63" i="6" s="1"/>
  <c r="BL63" i="6" s="1"/>
  <c r="BM63" i="6" s="1"/>
  <c r="BN63" i="6" s="1"/>
  <c r="BO63" i="6" s="1"/>
  <c r="BP63" i="6" s="1"/>
  <c r="BQ63" i="6" s="1"/>
  <c r="BR63" i="6" s="1"/>
  <c r="BS63" i="6" s="1"/>
  <c r="BT63" i="6" s="1"/>
  <c r="BF64" i="6"/>
  <c r="BG64" i="6" s="1"/>
  <c r="BH64" i="6" s="1"/>
  <c r="BI64" i="6" s="1"/>
  <c r="BJ64" i="6" s="1"/>
  <c r="BK64" i="6" s="1"/>
  <c r="BL64" i="6" s="1"/>
  <c r="BM64" i="6" s="1"/>
  <c r="BN64" i="6" s="1"/>
  <c r="BO64" i="6" s="1"/>
  <c r="BP64" i="6" s="1"/>
  <c r="BQ64" i="6" s="1"/>
  <c r="BR64" i="6" s="1"/>
  <c r="BS64" i="6" s="1"/>
  <c r="BT64" i="6" s="1"/>
  <c r="AS65" i="6"/>
  <c r="AT65" i="6" s="1"/>
  <c r="AU65" i="6" s="1"/>
  <c r="AV65" i="6" s="1"/>
  <c r="AW65" i="6" s="1"/>
  <c r="AX65" i="6" s="1"/>
  <c r="AY65" i="6" s="1"/>
  <c r="AZ65" i="6" s="1"/>
  <c r="BA65" i="6" s="1"/>
  <c r="BB65" i="6" s="1"/>
  <c r="BC65" i="6" s="1"/>
  <c r="BD65" i="6" s="1"/>
  <c r="BE65" i="6" s="1"/>
  <c r="BF65" i="6" s="1"/>
  <c r="BG65" i="6" s="1"/>
  <c r="BH65" i="6" s="1"/>
  <c r="BI65" i="6" s="1"/>
  <c r="BJ65" i="6" s="1"/>
  <c r="BK65" i="6" s="1"/>
  <c r="BL65" i="6" s="1"/>
  <c r="BM65" i="6" s="1"/>
  <c r="BN65" i="6" s="1"/>
  <c r="BO65" i="6" s="1"/>
  <c r="BP65" i="6" s="1"/>
  <c r="BQ65" i="6" s="1"/>
  <c r="BR65" i="6" s="1"/>
  <c r="BS65" i="6" s="1"/>
  <c r="BT65" i="6" s="1"/>
  <c r="AV66" i="6"/>
  <c r="AW66" i="6" s="1"/>
  <c r="AX66" i="6" s="1"/>
  <c r="AY66" i="6" s="1"/>
  <c r="AZ66" i="6" s="1"/>
  <c r="BA66" i="6" s="1"/>
  <c r="BB66" i="6" s="1"/>
  <c r="BC66" i="6" s="1"/>
  <c r="BD66" i="6" s="1"/>
  <c r="BE66" i="6" s="1"/>
  <c r="BF66" i="6" s="1"/>
  <c r="BG66" i="6" s="1"/>
  <c r="BH66" i="6" s="1"/>
  <c r="BI66" i="6" s="1"/>
  <c r="BJ66" i="6" s="1"/>
  <c r="BK66" i="6" s="1"/>
  <c r="BL66" i="6" s="1"/>
  <c r="BM66" i="6" s="1"/>
  <c r="BN66" i="6" s="1"/>
  <c r="BO66" i="6" s="1"/>
  <c r="BP66" i="6" s="1"/>
  <c r="BQ66" i="6" s="1"/>
  <c r="BR66" i="6" s="1"/>
  <c r="BS66" i="6" s="1"/>
  <c r="BT66" i="6" s="1"/>
  <c r="AR69" i="6"/>
  <c r="AS69" i="6" s="1"/>
  <c r="AT69" i="6" s="1"/>
  <c r="AU69" i="6" s="1"/>
  <c r="AV69" i="6" s="1"/>
  <c r="AW69" i="6" s="1"/>
  <c r="AX69" i="6" s="1"/>
  <c r="AY69" i="6" s="1"/>
  <c r="AZ69" i="6" s="1"/>
  <c r="BA69" i="6" s="1"/>
  <c r="BB69" i="6" s="1"/>
  <c r="BC69" i="6" s="1"/>
  <c r="BD69" i="6" s="1"/>
  <c r="BE69" i="6" s="1"/>
  <c r="BF69" i="6" s="1"/>
  <c r="BG69" i="6" s="1"/>
  <c r="BH69" i="6" s="1"/>
  <c r="BI69" i="6" s="1"/>
  <c r="BJ69" i="6" s="1"/>
  <c r="BK69" i="6" s="1"/>
  <c r="BL69" i="6" s="1"/>
  <c r="BM69" i="6" s="1"/>
  <c r="BN69" i="6" s="1"/>
  <c r="BO69" i="6" s="1"/>
  <c r="BP69" i="6" s="1"/>
  <c r="BQ69" i="6" s="1"/>
  <c r="BR69" i="6" s="1"/>
  <c r="BS69" i="6" s="1"/>
  <c r="BT69" i="6" s="1"/>
  <c r="AR71" i="6"/>
  <c r="AS71" i="6" s="1"/>
  <c r="AT71" i="6" s="1"/>
  <c r="AU71" i="6" s="1"/>
  <c r="AV71" i="6" s="1"/>
  <c r="AW71" i="6" s="1"/>
  <c r="AX71" i="6" s="1"/>
  <c r="AY71" i="6" s="1"/>
  <c r="AZ71" i="6" s="1"/>
  <c r="BA71" i="6" s="1"/>
  <c r="BB71" i="6" s="1"/>
  <c r="BC71" i="6" s="1"/>
  <c r="BD71" i="6" s="1"/>
  <c r="BE71" i="6" s="1"/>
  <c r="BF71" i="6" s="1"/>
  <c r="BG71" i="6" s="1"/>
  <c r="BH71" i="6" s="1"/>
  <c r="BI71" i="6" s="1"/>
  <c r="BJ71" i="6" s="1"/>
  <c r="BK71" i="6" s="1"/>
  <c r="BL71" i="6" s="1"/>
  <c r="BM71" i="6" s="1"/>
  <c r="BN71" i="6" s="1"/>
  <c r="BO71" i="6" s="1"/>
  <c r="BP71" i="6" s="1"/>
  <c r="BQ71" i="6" s="1"/>
  <c r="BR71" i="6" s="1"/>
  <c r="BS71" i="6" s="1"/>
  <c r="BT71" i="6" s="1"/>
  <c r="BD72" i="6"/>
  <c r="BE72" i="6" s="1"/>
  <c r="BF72" i="6" s="1"/>
  <c r="BG72" i="6" s="1"/>
  <c r="BH72" i="6" s="1"/>
  <c r="BI72" i="6" s="1"/>
  <c r="BJ72" i="6" s="1"/>
  <c r="BK72" i="6" s="1"/>
  <c r="BL72" i="6" s="1"/>
  <c r="BM72" i="6" s="1"/>
  <c r="BN72" i="6" s="1"/>
  <c r="BO72" i="6" s="1"/>
  <c r="BP72" i="6" s="1"/>
  <c r="BQ72" i="6" s="1"/>
  <c r="BR72" i="6" s="1"/>
  <c r="BS72" i="6" s="1"/>
  <c r="BT72" i="6" s="1"/>
  <c r="AU73" i="6"/>
  <c r="AV73" i="6" s="1"/>
  <c r="AW73" i="6" s="1"/>
  <c r="AX73" i="6" s="1"/>
  <c r="AY73" i="6" s="1"/>
  <c r="AZ73" i="6" s="1"/>
  <c r="BA73" i="6" s="1"/>
  <c r="BB73" i="6" s="1"/>
  <c r="BC73" i="6" s="1"/>
  <c r="BD73" i="6" s="1"/>
  <c r="BE73" i="6" s="1"/>
  <c r="BF73" i="6" s="1"/>
  <c r="BG73" i="6" s="1"/>
  <c r="BH73" i="6" s="1"/>
  <c r="BI73" i="6" s="1"/>
  <c r="BJ73" i="6" s="1"/>
  <c r="BK73" i="6" s="1"/>
  <c r="BL73" i="6" s="1"/>
  <c r="BM73" i="6" s="1"/>
  <c r="BN73" i="6" s="1"/>
  <c r="BO73" i="6" s="1"/>
  <c r="BP73" i="6" s="1"/>
  <c r="BQ73" i="6" s="1"/>
  <c r="BR73" i="6" s="1"/>
  <c r="BS73" i="6" s="1"/>
  <c r="BT73" i="6" s="1"/>
  <c r="AS74" i="6"/>
  <c r="AT74" i="6" s="1"/>
  <c r="AU74" i="6" s="1"/>
  <c r="AV74" i="6" s="1"/>
  <c r="AW74" i="6" s="1"/>
  <c r="AX74" i="6" s="1"/>
  <c r="AY74" i="6" s="1"/>
  <c r="AZ74" i="6" s="1"/>
  <c r="BA74" i="6" s="1"/>
  <c r="BB74" i="6" s="1"/>
  <c r="BC74" i="6" s="1"/>
  <c r="BD74" i="6" s="1"/>
  <c r="BE74" i="6" s="1"/>
  <c r="BF74" i="6" s="1"/>
  <c r="BG74" i="6" s="1"/>
  <c r="BH74" i="6" s="1"/>
  <c r="BI74" i="6" s="1"/>
  <c r="BJ74" i="6" s="1"/>
  <c r="BK74" i="6" s="1"/>
  <c r="BL74" i="6" s="1"/>
  <c r="BM74" i="6" s="1"/>
  <c r="BN74" i="6" s="1"/>
  <c r="BO74" i="6" s="1"/>
  <c r="BP74" i="6" s="1"/>
  <c r="BQ74" i="6" s="1"/>
  <c r="BR74" i="6" s="1"/>
  <c r="BS74" i="6" s="1"/>
  <c r="BT74" i="6" s="1"/>
  <c r="AV75" i="6"/>
  <c r="AW75" i="6" s="1"/>
  <c r="AX75" i="6" s="1"/>
  <c r="AY75" i="6" s="1"/>
  <c r="AZ75" i="6" s="1"/>
  <c r="BA75" i="6" s="1"/>
  <c r="BB75" i="6" s="1"/>
  <c r="BC75" i="6" s="1"/>
  <c r="BD75" i="6" s="1"/>
  <c r="BE75" i="6" s="1"/>
  <c r="BF75" i="6" s="1"/>
  <c r="BG75" i="6" s="1"/>
  <c r="BH75" i="6" s="1"/>
  <c r="BI75" i="6" s="1"/>
  <c r="BJ75" i="6" s="1"/>
  <c r="BK75" i="6" s="1"/>
  <c r="BL75" i="6" s="1"/>
  <c r="BM75" i="6" s="1"/>
  <c r="BN75" i="6" s="1"/>
  <c r="BO75" i="6" s="1"/>
  <c r="BP75" i="6" s="1"/>
  <c r="BQ75" i="6" s="1"/>
  <c r="BR75" i="6" s="1"/>
  <c r="BS75" i="6" s="1"/>
  <c r="BT75" i="6" s="1"/>
  <c r="AT76" i="6"/>
  <c r="AU76" i="6" s="1"/>
  <c r="AV76" i="6" s="1"/>
  <c r="AW76" i="6" s="1"/>
  <c r="AX76" i="6" s="1"/>
  <c r="AY76" i="6" s="1"/>
  <c r="AZ76" i="6" s="1"/>
  <c r="BA76" i="6" s="1"/>
  <c r="BB76" i="6" s="1"/>
  <c r="BC76" i="6" s="1"/>
  <c r="BD76" i="6" s="1"/>
  <c r="BE76" i="6" s="1"/>
  <c r="BF76" i="6" s="1"/>
  <c r="BG76" i="6" s="1"/>
  <c r="BH76" i="6" s="1"/>
  <c r="BI76" i="6" s="1"/>
  <c r="BJ76" i="6" s="1"/>
  <c r="BK76" i="6" s="1"/>
  <c r="BL76" i="6" s="1"/>
  <c r="BM76" i="6" s="1"/>
  <c r="BN76" i="6" s="1"/>
  <c r="BO76" i="6" s="1"/>
  <c r="BP76" i="6" s="1"/>
  <c r="BQ76" i="6" s="1"/>
  <c r="BR76" i="6" s="1"/>
  <c r="BS76" i="6" s="1"/>
  <c r="BT76" i="6" s="1"/>
  <c r="AS77" i="6"/>
  <c r="AT77" i="6" s="1"/>
  <c r="AU77" i="6" s="1"/>
  <c r="AV77" i="6" s="1"/>
  <c r="AW77" i="6" s="1"/>
  <c r="AX77" i="6" s="1"/>
  <c r="AY77" i="6" s="1"/>
  <c r="AZ77" i="6" s="1"/>
  <c r="BA77" i="6" s="1"/>
  <c r="BB77" i="6" s="1"/>
  <c r="BC77" i="6" s="1"/>
  <c r="BD77" i="6" s="1"/>
  <c r="BE77" i="6" s="1"/>
  <c r="BF77" i="6" s="1"/>
  <c r="BG77" i="6" s="1"/>
  <c r="BH77" i="6" s="1"/>
  <c r="BI77" i="6" s="1"/>
  <c r="BJ77" i="6" s="1"/>
  <c r="BK77" i="6" s="1"/>
  <c r="BL77" i="6" s="1"/>
  <c r="BM77" i="6" s="1"/>
  <c r="BN77" i="6" s="1"/>
  <c r="BO77" i="6" s="1"/>
  <c r="BP77" i="6" s="1"/>
  <c r="BQ77" i="6" s="1"/>
  <c r="BR77" i="6" s="1"/>
  <c r="BS77" i="6" s="1"/>
  <c r="BT77" i="6" s="1"/>
  <c r="BG78" i="6"/>
  <c r="BH78" i="6" s="1"/>
  <c r="BI78" i="6" s="1"/>
  <c r="BJ78" i="6" s="1"/>
  <c r="BK78" i="6" s="1"/>
  <c r="BL78" i="6" s="1"/>
  <c r="BM78" i="6" s="1"/>
  <c r="BN78" i="6" s="1"/>
  <c r="BO78" i="6" s="1"/>
  <c r="BP78" i="6" s="1"/>
  <c r="BQ78" i="6" s="1"/>
  <c r="BR78" i="6" s="1"/>
  <c r="BS78" i="6" s="1"/>
  <c r="BT78" i="6" s="1"/>
  <c r="AR79" i="6"/>
  <c r="AS79" i="6" s="1"/>
  <c r="AT79" i="6" s="1"/>
  <c r="AU79" i="6" s="1"/>
  <c r="AV79" i="6" s="1"/>
  <c r="AW79" i="6" s="1"/>
  <c r="AX79" i="6" s="1"/>
  <c r="AY79" i="6" s="1"/>
  <c r="AZ79" i="6" s="1"/>
  <c r="BA79" i="6" s="1"/>
  <c r="BB79" i="6" s="1"/>
  <c r="BC79" i="6" s="1"/>
  <c r="BD79" i="6" s="1"/>
  <c r="BE79" i="6" s="1"/>
  <c r="BF79" i="6" s="1"/>
  <c r="BG79" i="6" s="1"/>
  <c r="BH79" i="6" s="1"/>
  <c r="BI79" i="6" s="1"/>
  <c r="BJ79" i="6" s="1"/>
  <c r="BK79" i="6" s="1"/>
  <c r="BL79" i="6" s="1"/>
  <c r="BM79" i="6" s="1"/>
  <c r="BN79" i="6" s="1"/>
  <c r="BO79" i="6" s="1"/>
  <c r="BP79" i="6" s="1"/>
  <c r="BQ79" i="6" s="1"/>
  <c r="BR79" i="6" s="1"/>
  <c r="BS79" i="6" s="1"/>
  <c r="BT79" i="6" s="1"/>
  <c r="AR80" i="6"/>
  <c r="AS80" i="6" s="1"/>
  <c r="AT80" i="6" s="1"/>
  <c r="AU80" i="6" s="1"/>
  <c r="AV80" i="6" s="1"/>
  <c r="AW80" i="6" s="1"/>
  <c r="AX80" i="6" s="1"/>
  <c r="AY80" i="6" s="1"/>
  <c r="AZ80" i="6" s="1"/>
  <c r="BA80" i="6" s="1"/>
  <c r="BB80" i="6" s="1"/>
  <c r="BC80" i="6" s="1"/>
  <c r="BD80" i="6" s="1"/>
  <c r="BE80" i="6" s="1"/>
  <c r="BF80" i="6" s="1"/>
  <c r="BG80" i="6" s="1"/>
  <c r="BH80" i="6" s="1"/>
  <c r="BI80" i="6" s="1"/>
  <c r="BJ80" i="6" s="1"/>
  <c r="BK80" i="6" s="1"/>
  <c r="BL80" i="6" s="1"/>
  <c r="BM80" i="6" s="1"/>
  <c r="BN80" i="6" s="1"/>
  <c r="BO80" i="6" s="1"/>
  <c r="BP80" i="6" s="1"/>
  <c r="BQ80" i="6" s="1"/>
  <c r="BR80" i="6" s="1"/>
  <c r="BS80" i="6" s="1"/>
  <c r="BT80" i="6" s="1"/>
  <c r="AS81" i="6"/>
  <c r="AT81" i="6" s="1"/>
  <c r="AU81" i="6" s="1"/>
  <c r="AV81" i="6" s="1"/>
  <c r="AW81" i="6" s="1"/>
  <c r="AX81" i="6" s="1"/>
  <c r="AY81" i="6" s="1"/>
  <c r="AZ81" i="6" s="1"/>
  <c r="BA81" i="6" s="1"/>
  <c r="BB81" i="6" s="1"/>
  <c r="BC81" i="6" s="1"/>
  <c r="BD81" i="6" s="1"/>
  <c r="BE81" i="6" s="1"/>
  <c r="BF81" i="6" s="1"/>
  <c r="BG81" i="6" s="1"/>
  <c r="BH81" i="6" s="1"/>
  <c r="BI81" i="6" s="1"/>
  <c r="BJ81" i="6" s="1"/>
  <c r="BK81" i="6" s="1"/>
  <c r="BL81" i="6" s="1"/>
  <c r="BM81" i="6" s="1"/>
  <c r="BN81" i="6" s="1"/>
  <c r="BO81" i="6" s="1"/>
  <c r="BP81" i="6" s="1"/>
  <c r="BQ81" i="6" s="1"/>
  <c r="BR81" i="6" s="1"/>
  <c r="BS81" i="6" s="1"/>
  <c r="BT81" i="6" s="1"/>
  <c r="BD82" i="6"/>
  <c r="BE82" i="6" s="1"/>
  <c r="BF82" i="6" s="1"/>
  <c r="BG82" i="6" s="1"/>
  <c r="BH82" i="6" s="1"/>
  <c r="BI82" i="6" s="1"/>
  <c r="BJ82" i="6" s="1"/>
  <c r="BK82" i="6" s="1"/>
  <c r="BL82" i="6" s="1"/>
  <c r="BM82" i="6" s="1"/>
  <c r="BN82" i="6" s="1"/>
  <c r="BO82" i="6" s="1"/>
  <c r="BP82" i="6" s="1"/>
  <c r="BQ82" i="6" s="1"/>
  <c r="BR82" i="6" s="1"/>
  <c r="BS82" i="6" s="1"/>
  <c r="BT82" i="6" s="1"/>
  <c r="AS83" i="6"/>
  <c r="AT83" i="6" s="1"/>
  <c r="AU83" i="6" s="1"/>
  <c r="AV83" i="6" s="1"/>
  <c r="AW83" i="6" s="1"/>
  <c r="AX83" i="6" s="1"/>
  <c r="AY83" i="6" s="1"/>
  <c r="AZ83" i="6" s="1"/>
  <c r="BA83" i="6" s="1"/>
  <c r="BB83" i="6" s="1"/>
  <c r="BC83" i="6" s="1"/>
  <c r="BD83" i="6" s="1"/>
  <c r="BE83" i="6" s="1"/>
  <c r="BF83" i="6" s="1"/>
  <c r="BG83" i="6" s="1"/>
  <c r="BH83" i="6" s="1"/>
  <c r="BI83" i="6" s="1"/>
  <c r="BJ83" i="6" s="1"/>
  <c r="BK83" i="6" s="1"/>
  <c r="BL83" i="6" s="1"/>
  <c r="BM83" i="6" s="1"/>
  <c r="BN83" i="6" s="1"/>
  <c r="BO83" i="6" s="1"/>
  <c r="BP83" i="6" s="1"/>
  <c r="BQ83" i="6" s="1"/>
  <c r="BR83" i="6" s="1"/>
  <c r="BS83" i="6" s="1"/>
  <c r="BT83" i="6" s="1"/>
  <c r="AS84" i="6"/>
  <c r="AT84" i="6" s="1"/>
  <c r="AU84" i="6" s="1"/>
  <c r="AV84" i="6" s="1"/>
  <c r="AW84" i="6" s="1"/>
  <c r="AX84" i="6" s="1"/>
  <c r="AY84" i="6" s="1"/>
  <c r="AZ84" i="6" s="1"/>
  <c r="BA84" i="6" s="1"/>
  <c r="BB84" i="6" s="1"/>
  <c r="BC84" i="6" s="1"/>
  <c r="BD84" i="6" s="1"/>
  <c r="BE84" i="6" s="1"/>
  <c r="BF84" i="6" s="1"/>
  <c r="BG84" i="6" s="1"/>
  <c r="BH84" i="6" s="1"/>
  <c r="BI84" i="6" s="1"/>
  <c r="BJ84" i="6" s="1"/>
  <c r="BK84" i="6" s="1"/>
  <c r="BL84" i="6" s="1"/>
  <c r="BM84" i="6" s="1"/>
  <c r="BN84" i="6" s="1"/>
  <c r="BO84" i="6" s="1"/>
  <c r="BP84" i="6" s="1"/>
  <c r="BQ84" i="6" s="1"/>
  <c r="BR84" i="6" s="1"/>
  <c r="BS84" i="6" s="1"/>
  <c r="BT84" i="6" s="1"/>
  <c r="AU85" i="6"/>
  <c r="AV85" i="6" s="1"/>
  <c r="AW85" i="6" s="1"/>
  <c r="AX85" i="6" s="1"/>
  <c r="AY85" i="6" s="1"/>
  <c r="AZ85" i="6" s="1"/>
  <c r="BA85" i="6" s="1"/>
  <c r="BB85" i="6" s="1"/>
  <c r="BC85" i="6" s="1"/>
  <c r="BD85" i="6" s="1"/>
  <c r="BE85" i="6" s="1"/>
  <c r="BF85" i="6" s="1"/>
  <c r="BG85" i="6" s="1"/>
  <c r="BH85" i="6" s="1"/>
  <c r="BI85" i="6" s="1"/>
  <c r="BJ85" i="6" s="1"/>
  <c r="BK85" i="6" s="1"/>
  <c r="BL85" i="6" s="1"/>
  <c r="BM85" i="6" s="1"/>
  <c r="BN85" i="6" s="1"/>
  <c r="BO85" i="6" s="1"/>
  <c r="BP85" i="6" s="1"/>
  <c r="BQ85" i="6" s="1"/>
  <c r="BR85" i="6" s="1"/>
  <c r="BS85" i="6" s="1"/>
  <c r="BT85" i="6" s="1"/>
  <c r="BK86" i="6"/>
  <c r="BL86" i="6" s="1"/>
  <c r="BM86" i="6" s="1"/>
  <c r="BN86" i="6" s="1"/>
  <c r="BO86" i="6" s="1"/>
  <c r="BP86" i="6" s="1"/>
  <c r="BQ86" i="6" s="1"/>
  <c r="BR86" i="6" s="1"/>
  <c r="BS86" i="6" s="1"/>
  <c r="BT86" i="6" s="1"/>
  <c r="AR87" i="6"/>
  <c r="AS87" i="6" s="1"/>
  <c r="AT87" i="6" s="1"/>
  <c r="AU87" i="6" s="1"/>
  <c r="AV87" i="6" s="1"/>
  <c r="AW87" i="6" s="1"/>
  <c r="AX87" i="6" s="1"/>
  <c r="AY87" i="6" s="1"/>
  <c r="AZ87" i="6" s="1"/>
  <c r="BA87" i="6" s="1"/>
  <c r="BB87" i="6" s="1"/>
  <c r="BC87" i="6" s="1"/>
  <c r="BD87" i="6" s="1"/>
  <c r="BE87" i="6" s="1"/>
  <c r="BF87" i="6" s="1"/>
  <c r="BG87" i="6" s="1"/>
  <c r="BH87" i="6" s="1"/>
  <c r="BI87" i="6" s="1"/>
  <c r="BJ87" i="6" s="1"/>
  <c r="BK87" i="6" s="1"/>
  <c r="BL87" i="6" s="1"/>
  <c r="BM87" i="6" s="1"/>
  <c r="BN87" i="6" s="1"/>
  <c r="BO87" i="6" s="1"/>
  <c r="BP87" i="6" s="1"/>
  <c r="BQ87" i="6" s="1"/>
  <c r="BR87" i="6" s="1"/>
  <c r="BS87" i="6" s="1"/>
  <c r="BT87" i="6" s="1"/>
  <c r="BD88" i="6"/>
  <c r="BE88" i="6" s="1"/>
  <c r="BF88" i="6" s="1"/>
  <c r="BG88" i="6" s="1"/>
  <c r="BH88" i="6" s="1"/>
  <c r="BI88" i="6" s="1"/>
  <c r="BJ88" i="6" s="1"/>
  <c r="BK88" i="6" s="1"/>
  <c r="BL88" i="6" s="1"/>
  <c r="BM88" i="6" s="1"/>
  <c r="BN88" i="6" s="1"/>
  <c r="BO88" i="6" s="1"/>
  <c r="BP88" i="6" s="1"/>
  <c r="BQ88" i="6" s="1"/>
  <c r="BR88" i="6" s="1"/>
  <c r="BS88" i="6" s="1"/>
  <c r="BT88" i="6" s="1"/>
  <c r="AR89" i="6"/>
  <c r="AS89" i="6" s="1"/>
  <c r="AT89" i="6" s="1"/>
  <c r="AU89" i="6" s="1"/>
  <c r="AV89" i="6" s="1"/>
  <c r="AW89" i="6" s="1"/>
  <c r="AX89" i="6" s="1"/>
  <c r="AY89" i="6" s="1"/>
  <c r="AZ89" i="6" s="1"/>
  <c r="BA89" i="6" s="1"/>
  <c r="BB89" i="6" s="1"/>
  <c r="BC89" i="6" s="1"/>
  <c r="BD89" i="6" s="1"/>
  <c r="BE89" i="6" s="1"/>
  <c r="BF89" i="6" s="1"/>
  <c r="BG89" i="6" s="1"/>
  <c r="BH89" i="6" s="1"/>
  <c r="BI89" i="6" s="1"/>
  <c r="BJ89" i="6" s="1"/>
  <c r="BK89" i="6" s="1"/>
  <c r="BL89" i="6" s="1"/>
  <c r="BM89" i="6" s="1"/>
  <c r="BN89" i="6" s="1"/>
  <c r="BO89" i="6" s="1"/>
  <c r="BP89" i="6" s="1"/>
  <c r="BQ89" i="6" s="1"/>
  <c r="BR89" i="6" s="1"/>
  <c r="BS89" i="6" s="1"/>
  <c r="BT89" i="6" s="1"/>
  <c r="AR90" i="6"/>
  <c r="AS90" i="6" s="1"/>
  <c r="AT90" i="6" s="1"/>
  <c r="AU90" i="6" s="1"/>
  <c r="AV90" i="6" s="1"/>
  <c r="AW90" i="6" s="1"/>
  <c r="AX90" i="6" s="1"/>
  <c r="AY90" i="6" s="1"/>
  <c r="AZ90" i="6" s="1"/>
  <c r="BA90" i="6" s="1"/>
  <c r="BB90" i="6" s="1"/>
  <c r="BC90" i="6" s="1"/>
  <c r="BD90" i="6" s="1"/>
  <c r="BE90" i="6" s="1"/>
  <c r="BF90" i="6" s="1"/>
  <c r="BG90" i="6" s="1"/>
  <c r="BH90" i="6" s="1"/>
  <c r="BI90" i="6" s="1"/>
  <c r="BJ90" i="6" s="1"/>
  <c r="BK90" i="6" s="1"/>
  <c r="BL90" i="6" s="1"/>
  <c r="BM90" i="6" s="1"/>
  <c r="BN90" i="6" s="1"/>
  <c r="BO90" i="6" s="1"/>
  <c r="BP90" i="6" s="1"/>
  <c r="BQ90" i="6" s="1"/>
  <c r="BR90" i="6" s="1"/>
  <c r="BS90" i="6" s="1"/>
  <c r="BT90" i="6" s="1"/>
  <c r="AR91" i="6"/>
  <c r="AS91" i="6" s="1"/>
  <c r="AT91" i="6" s="1"/>
  <c r="AU91" i="6" s="1"/>
  <c r="AV91" i="6" s="1"/>
  <c r="AW91" i="6" s="1"/>
  <c r="AX91" i="6" s="1"/>
  <c r="AY91" i="6" s="1"/>
  <c r="AZ91" i="6" s="1"/>
  <c r="BA91" i="6" s="1"/>
  <c r="BB91" i="6" s="1"/>
  <c r="BC91" i="6" s="1"/>
  <c r="BD91" i="6" s="1"/>
  <c r="BE91" i="6" s="1"/>
  <c r="BF91" i="6" s="1"/>
  <c r="BG91" i="6" s="1"/>
  <c r="BH91" i="6" s="1"/>
  <c r="BI91" i="6" s="1"/>
  <c r="BJ91" i="6" s="1"/>
  <c r="BK91" i="6" s="1"/>
  <c r="BL91" i="6" s="1"/>
  <c r="BM91" i="6" s="1"/>
  <c r="BN91" i="6" s="1"/>
  <c r="BO91" i="6" s="1"/>
  <c r="BP91" i="6" s="1"/>
  <c r="BQ91" i="6" s="1"/>
  <c r="BR91" i="6" s="1"/>
  <c r="BS91" i="6" s="1"/>
  <c r="BT91" i="6" s="1"/>
  <c r="AR92" i="6"/>
  <c r="AS92" i="6" s="1"/>
  <c r="AT92" i="6" s="1"/>
  <c r="AU92" i="6" s="1"/>
  <c r="AV92" i="6" s="1"/>
  <c r="AW92" i="6" s="1"/>
  <c r="AX92" i="6" s="1"/>
  <c r="AY92" i="6" s="1"/>
  <c r="AZ92" i="6" s="1"/>
  <c r="BA92" i="6" s="1"/>
  <c r="BB92" i="6" s="1"/>
  <c r="BC92" i="6" s="1"/>
  <c r="BD92" i="6" s="1"/>
  <c r="BE92" i="6" s="1"/>
  <c r="BF92" i="6" s="1"/>
  <c r="BG92" i="6" s="1"/>
  <c r="BH92" i="6" s="1"/>
  <c r="BI92" i="6" s="1"/>
  <c r="BJ92" i="6" s="1"/>
  <c r="BK92" i="6" s="1"/>
  <c r="BL92" i="6" s="1"/>
  <c r="BM92" i="6" s="1"/>
  <c r="BN92" i="6" s="1"/>
  <c r="BO92" i="6" s="1"/>
  <c r="BP92" i="6" s="1"/>
  <c r="BQ92" i="6" s="1"/>
  <c r="BR92" i="6" s="1"/>
  <c r="BS92" i="6" s="1"/>
  <c r="BT92" i="6" s="1"/>
  <c r="BE93" i="6"/>
  <c r="BF93" i="6" s="1"/>
  <c r="BG93" i="6" s="1"/>
  <c r="BH93" i="6" s="1"/>
  <c r="BI93" i="6" s="1"/>
  <c r="BJ93" i="6" s="1"/>
  <c r="BK93" i="6" s="1"/>
  <c r="BL93" i="6" s="1"/>
  <c r="BM93" i="6" s="1"/>
  <c r="BN93" i="6" s="1"/>
  <c r="BO93" i="6" s="1"/>
  <c r="BP93" i="6" s="1"/>
  <c r="BQ93" i="6" s="1"/>
  <c r="BR93" i="6" s="1"/>
  <c r="BS93" i="6" s="1"/>
  <c r="BT93" i="6" s="1"/>
  <c r="AR95" i="6"/>
  <c r="AS95" i="6" s="1"/>
  <c r="AT95" i="6" s="1"/>
  <c r="AU95" i="6" s="1"/>
  <c r="AV95" i="6" s="1"/>
  <c r="AW95" i="6" s="1"/>
  <c r="AX95" i="6" s="1"/>
  <c r="AY95" i="6" s="1"/>
  <c r="AZ95" i="6" s="1"/>
  <c r="BA95" i="6" s="1"/>
  <c r="BB95" i="6" s="1"/>
  <c r="BC95" i="6" s="1"/>
  <c r="BD95" i="6" s="1"/>
  <c r="BE95" i="6" s="1"/>
  <c r="BF95" i="6" s="1"/>
  <c r="BG95" i="6" s="1"/>
  <c r="BH95" i="6" s="1"/>
  <c r="BI95" i="6" s="1"/>
  <c r="BJ95" i="6" s="1"/>
  <c r="BK95" i="6" s="1"/>
  <c r="BL95" i="6" s="1"/>
  <c r="BM95" i="6" s="1"/>
  <c r="BN95" i="6" s="1"/>
  <c r="BO95" i="6" s="1"/>
  <c r="BP95" i="6" s="1"/>
  <c r="BQ95" i="6" s="1"/>
  <c r="BR95" i="6" s="1"/>
  <c r="BS95" i="6" s="1"/>
  <c r="BT95" i="6" s="1"/>
  <c r="AR96" i="6"/>
  <c r="AS96" i="6" s="1"/>
  <c r="AT96" i="6" s="1"/>
  <c r="AU96" i="6" s="1"/>
  <c r="AV96" i="6" s="1"/>
  <c r="AW96" i="6" s="1"/>
  <c r="AX96" i="6" s="1"/>
  <c r="AY96" i="6" s="1"/>
  <c r="AZ96" i="6" s="1"/>
  <c r="BA96" i="6" s="1"/>
  <c r="BB96" i="6" s="1"/>
  <c r="BC96" i="6" s="1"/>
  <c r="BD96" i="6" s="1"/>
  <c r="BE96" i="6" s="1"/>
  <c r="BF96" i="6" s="1"/>
  <c r="BG96" i="6" s="1"/>
  <c r="BH96" i="6" s="1"/>
  <c r="BI96" i="6" s="1"/>
  <c r="BJ96" i="6" s="1"/>
  <c r="BK96" i="6" s="1"/>
  <c r="BL96" i="6" s="1"/>
  <c r="BM96" i="6" s="1"/>
  <c r="BN96" i="6" s="1"/>
  <c r="BO96" i="6" s="1"/>
  <c r="BP96" i="6" s="1"/>
  <c r="BQ96" i="6" s="1"/>
  <c r="BR96" i="6" s="1"/>
  <c r="BS96" i="6" s="1"/>
  <c r="BT96" i="6" s="1"/>
  <c r="AU97" i="6"/>
  <c r="AV97" i="6" s="1"/>
  <c r="AW97" i="6" s="1"/>
  <c r="AX97" i="6" s="1"/>
  <c r="AY97" i="6" s="1"/>
  <c r="AZ97" i="6" s="1"/>
  <c r="BA97" i="6" s="1"/>
  <c r="BB97" i="6" s="1"/>
  <c r="BC97" i="6" s="1"/>
  <c r="BD97" i="6" s="1"/>
  <c r="BE97" i="6" s="1"/>
  <c r="BF97" i="6" s="1"/>
  <c r="BG97" i="6" s="1"/>
  <c r="BH97" i="6" s="1"/>
  <c r="BI97" i="6" s="1"/>
  <c r="BJ97" i="6" s="1"/>
  <c r="BK97" i="6" s="1"/>
  <c r="BL97" i="6" s="1"/>
  <c r="BM97" i="6" s="1"/>
  <c r="BN97" i="6" s="1"/>
  <c r="BO97" i="6" s="1"/>
  <c r="BP97" i="6" s="1"/>
  <c r="BQ97" i="6" s="1"/>
  <c r="BR97" i="6" s="1"/>
  <c r="BS97" i="6" s="1"/>
  <c r="BT97" i="6" s="1"/>
  <c r="AR98" i="6"/>
  <c r="AS98" i="6" s="1"/>
  <c r="AT98" i="6" s="1"/>
  <c r="AU98" i="6" s="1"/>
  <c r="AV98" i="6" s="1"/>
  <c r="AW98" i="6" s="1"/>
  <c r="AX98" i="6" s="1"/>
  <c r="AY98" i="6" s="1"/>
  <c r="AZ98" i="6" s="1"/>
  <c r="BA98" i="6" s="1"/>
  <c r="BB98" i="6" s="1"/>
  <c r="BC98" i="6" s="1"/>
  <c r="BD98" i="6" s="1"/>
  <c r="BE98" i="6" s="1"/>
  <c r="BF98" i="6" s="1"/>
  <c r="BG98" i="6" s="1"/>
  <c r="BH98" i="6" s="1"/>
  <c r="BI98" i="6" s="1"/>
  <c r="BJ98" i="6" s="1"/>
  <c r="BK98" i="6" s="1"/>
  <c r="BL98" i="6" s="1"/>
  <c r="BM98" i="6" s="1"/>
  <c r="BN98" i="6" s="1"/>
  <c r="BO98" i="6" s="1"/>
  <c r="BP98" i="6" s="1"/>
  <c r="BQ98" i="6" s="1"/>
  <c r="BR98" i="6" s="1"/>
  <c r="BS98" i="6" s="1"/>
  <c r="BT98" i="6" s="1"/>
  <c r="AO9" i="6"/>
  <c r="AU100" i="6"/>
  <c r="AV100" i="6" s="1"/>
  <c r="AW100" i="6" s="1"/>
  <c r="AX100" i="6" s="1"/>
  <c r="AY100" i="6" s="1"/>
  <c r="AZ100" i="6" s="1"/>
  <c r="BA100" i="6" s="1"/>
  <c r="BB100" i="6" s="1"/>
  <c r="BC100" i="6" s="1"/>
  <c r="BD100" i="6" s="1"/>
  <c r="BE100" i="6" s="1"/>
  <c r="BF100" i="6" s="1"/>
  <c r="BG100" i="6" s="1"/>
  <c r="BH100" i="6" s="1"/>
  <c r="BI100" i="6" s="1"/>
  <c r="BJ100" i="6" s="1"/>
  <c r="BK100" i="6" s="1"/>
  <c r="BL100" i="6" s="1"/>
  <c r="BM100" i="6" s="1"/>
  <c r="BN100" i="6" s="1"/>
  <c r="BO100" i="6" s="1"/>
  <c r="BP100" i="6" s="1"/>
  <c r="BQ100" i="6" s="1"/>
  <c r="BR100" i="6" s="1"/>
  <c r="BS100" i="6" s="1"/>
  <c r="BT100" i="6" s="1"/>
  <c r="AR101" i="6"/>
  <c r="AS101" i="6" s="1"/>
  <c r="AT101" i="6" s="1"/>
  <c r="AU101" i="6" s="1"/>
  <c r="AV101" i="6" s="1"/>
  <c r="AW101" i="6" s="1"/>
  <c r="AX101" i="6" s="1"/>
  <c r="AY101" i="6" s="1"/>
  <c r="AZ101" i="6" s="1"/>
  <c r="BA101" i="6" s="1"/>
  <c r="BB101" i="6" s="1"/>
  <c r="BC101" i="6" s="1"/>
  <c r="BD101" i="6" s="1"/>
  <c r="BE101" i="6" s="1"/>
  <c r="BF101" i="6" s="1"/>
  <c r="BG101" i="6" s="1"/>
  <c r="BH101" i="6" s="1"/>
  <c r="BI101" i="6" s="1"/>
  <c r="BJ101" i="6" s="1"/>
  <c r="BK101" i="6" s="1"/>
  <c r="BL101" i="6" s="1"/>
  <c r="BM101" i="6" s="1"/>
  <c r="BN101" i="6" s="1"/>
  <c r="BO101" i="6" s="1"/>
  <c r="BP101" i="6" s="1"/>
  <c r="BQ101" i="6" s="1"/>
  <c r="BR101" i="6" s="1"/>
  <c r="BS101" i="6" s="1"/>
  <c r="BT101" i="6" s="1"/>
  <c r="AS102" i="6"/>
  <c r="AT102" i="6" s="1"/>
  <c r="AU102" i="6" s="1"/>
  <c r="AV102" i="6" s="1"/>
  <c r="AW102" i="6" s="1"/>
  <c r="AX102" i="6" s="1"/>
  <c r="AY102" i="6" s="1"/>
  <c r="AZ102" i="6" s="1"/>
  <c r="BA102" i="6" s="1"/>
  <c r="BB102" i="6" s="1"/>
  <c r="BC102" i="6" s="1"/>
  <c r="BD102" i="6" s="1"/>
  <c r="BE102" i="6" s="1"/>
  <c r="BF102" i="6" s="1"/>
  <c r="BG102" i="6" s="1"/>
  <c r="BH102" i="6" s="1"/>
  <c r="BI102" i="6" s="1"/>
  <c r="BJ102" i="6" s="1"/>
  <c r="BK102" i="6" s="1"/>
  <c r="BL102" i="6" s="1"/>
  <c r="BM102" i="6" s="1"/>
  <c r="BN102" i="6" s="1"/>
  <c r="BO102" i="6" s="1"/>
  <c r="BP102" i="6" s="1"/>
  <c r="BQ102" i="6" s="1"/>
  <c r="BR102" i="6" s="1"/>
  <c r="BS102" i="6" s="1"/>
  <c r="BT102" i="6" s="1"/>
  <c r="AR103" i="6"/>
  <c r="AS103" i="6" s="1"/>
  <c r="AT103" i="6" s="1"/>
  <c r="AU103" i="6" s="1"/>
  <c r="AV103" i="6" s="1"/>
  <c r="AW103" i="6" s="1"/>
  <c r="AX103" i="6" s="1"/>
  <c r="AY103" i="6" s="1"/>
  <c r="AZ103" i="6" s="1"/>
  <c r="BA103" i="6" s="1"/>
  <c r="BB103" i="6" s="1"/>
  <c r="BC103" i="6" s="1"/>
  <c r="BD103" i="6" s="1"/>
  <c r="BE103" i="6" s="1"/>
  <c r="BF103" i="6" s="1"/>
  <c r="BG103" i="6" s="1"/>
  <c r="BH103" i="6" s="1"/>
  <c r="BI103" i="6" s="1"/>
  <c r="BJ103" i="6" s="1"/>
  <c r="BK103" i="6" s="1"/>
  <c r="BL103" i="6" s="1"/>
  <c r="BM103" i="6" s="1"/>
  <c r="BN103" i="6" s="1"/>
  <c r="BO103" i="6" s="1"/>
  <c r="BP103" i="6" s="1"/>
  <c r="BQ103" i="6" s="1"/>
  <c r="BR103" i="6" s="1"/>
  <c r="BS103" i="6" s="1"/>
  <c r="BT103" i="6" s="1"/>
  <c r="AR104" i="6"/>
  <c r="AS104" i="6" s="1"/>
  <c r="AT104" i="6" s="1"/>
  <c r="AU104" i="6" s="1"/>
  <c r="AV104" i="6" s="1"/>
  <c r="AW104" i="6" s="1"/>
  <c r="AX104" i="6" s="1"/>
  <c r="AY104" i="6" s="1"/>
  <c r="AZ104" i="6" s="1"/>
  <c r="BA104" i="6" s="1"/>
  <c r="BB104" i="6" s="1"/>
  <c r="BC104" i="6" s="1"/>
  <c r="BD104" i="6" s="1"/>
  <c r="BE104" i="6" s="1"/>
  <c r="BF104" i="6" s="1"/>
  <c r="BG104" i="6" s="1"/>
  <c r="BH104" i="6" s="1"/>
  <c r="BI104" i="6" s="1"/>
  <c r="BJ104" i="6" s="1"/>
  <c r="BK104" i="6" s="1"/>
  <c r="BL104" i="6" s="1"/>
  <c r="BM104" i="6" s="1"/>
  <c r="BN104" i="6" s="1"/>
  <c r="BO104" i="6" s="1"/>
  <c r="BP104" i="6" s="1"/>
  <c r="BQ104" i="6" s="1"/>
  <c r="BR104" i="6" s="1"/>
  <c r="BS104" i="6" s="1"/>
  <c r="BT104" i="6" s="1"/>
  <c r="AP8" i="6"/>
  <c r="AO8" i="6"/>
  <c r="AP9" i="6"/>
  <c r="AQ6" i="6"/>
  <c r="H6" i="6" s="1"/>
  <c r="E21" i="2"/>
  <c r="F21" i="2" s="1"/>
  <c r="I7" i="6"/>
  <c r="AS7" i="6"/>
  <c r="I10" i="6"/>
  <c r="AS10" i="6" s="1"/>
  <c r="I11" i="6"/>
  <c r="AS11" i="6" s="1"/>
  <c r="AT11" i="6" s="1"/>
  <c r="AU11" i="6" s="1"/>
  <c r="AV11" i="6" s="1"/>
  <c r="AW11" i="6" s="1"/>
  <c r="AX11" i="6" s="1"/>
  <c r="AY11" i="6" s="1"/>
  <c r="AZ11" i="6" s="1"/>
  <c r="BA11" i="6" s="1"/>
  <c r="BB11" i="6" s="1"/>
  <c r="BC11" i="6" s="1"/>
  <c r="BD11" i="6" s="1"/>
  <c r="BE11" i="6" s="1"/>
  <c r="BF11" i="6" s="1"/>
  <c r="BG11" i="6" s="1"/>
  <c r="BH11" i="6" s="1"/>
  <c r="BI11" i="6" s="1"/>
  <c r="BJ11" i="6" s="1"/>
  <c r="BK11" i="6" s="1"/>
  <c r="BL11" i="6" s="1"/>
  <c r="BM11" i="6" s="1"/>
  <c r="BN11" i="6" s="1"/>
  <c r="BO11" i="6" s="1"/>
  <c r="BP11" i="6" s="1"/>
  <c r="BQ11" i="6" s="1"/>
  <c r="BR11" i="6" s="1"/>
  <c r="BS11" i="6" s="1"/>
  <c r="BT11" i="6" s="1"/>
  <c r="V5" i="1" l="1"/>
  <c r="W5" i="1" s="1"/>
  <c r="H6" i="4"/>
  <c r="V7" i="1"/>
  <c r="W7" i="1" s="1"/>
  <c r="H8" i="4"/>
  <c r="V10" i="1"/>
  <c r="W10" i="1" s="1"/>
  <c r="H11" i="4"/>
  <c r="V11" i="1"/>
  <c r="W11" i="1" s="1"/>
  <c r="H12" i="4"/>
  <c r="V13" i="1"/>
  <c r="W13" i="1" s="1"/>
  <c r="H13" i="4"/>
  <c r="V14" i="1"/>
  <c r="W14" i="1" s="1"/>
  <c r="H14" i="4"/>
  <c r="I8" i="6"/>
  <c r="AS8" i="6"/>
  <c r="I12" i="6"/>
  <c r="AS12" i="6" s="1"/>
  <c r="AT12" i="6" s="1"/>
  <c r="AU12" i="6" s="1"/>
  <c r="AV12" i="6" s="1"/>
  <c r="AW12" i="6" s="1"/>
  <c r="AX12" i="6" s="1"/>
  <c r="AY12" i="6" s="1"/>
  <c r="AZ12" i="6" s="1"/>
  <c r="BA12" i="6" s="1"/>
  <c r="BB12" i="6" s="1"/>
  <c r="BC12" i="6" s="1"/>
  <c r="BD12" i="6" s="1"/>
  <c r="BE12" i="6" s="1"/>
  <c r="BF12" i="6" s="1"/>
  <c r="BG12" i="6" s="1"/>
  <c r="BH12" i="6" s="1"/>
  <c r="BI12" i="6" s="1"/>
  <c r="BJ12" i="6" s="1"/>
  <c r="BK12" i="6" s="1"/>
  <c r="BL12" i="6" s="1"/>
  <c r="BM12" i="6" s="1"/>
  <c r="BN12" i="6" s="1"/>
  <c r="BO12" i="6" s="1"/>
  <c r="BP12" i="6" s="1"/>
  <c r="BQ12" i="6" s="1"/>
  <c r="BR12" i="6" s="1"/>
  <c r="BS12" i="6" s="1"/>
  <c r="BT12" i="6" s="1"/>
  <c r="I13" i="6"/>
  <c r="AS13" i="6"/>
  <c r="I14" i="6"/>
  <c r="AS14" i="6"/>
  <c r="I5" i="6"/>
  <c r="AS5" i="6"/>
  <c r="I9" i="6"/>
  <c r="AS9" i="6"/>
  <c r="T9" i="1"/>
  <c r="U9" i="1" s="1"/>
  <c r="S9" i="1"/>
  <c r="S8" i="1"/>
  <c r="T8" i="1"/>
  <c r="U8" i="1" s="1"/>
  <c r="E22" i="2"/>
  <c r="AR6" i="6"/>
  <c r="G21" i="2"/>
  <c r="F22" i="2"/>
  <c r="J7" i="6"/>
  <c r="AT7" i="6"/>
  <c r="J10" i="6"/>
  <c r="AT10" i="6"/>
  <c r="J8" i="6" l="1"/>
  <c r="AT8" i="6"/>
  <c r="AU8" i="6" s="1"/>
  <c r="AV8" i="6" s="1"/>
  <c r="AW8" i="6" s="1"/>
  <c r="AX8" i="6" s="1"/>
  <c r="AY8" i="6" s="1"/>
  <c r="AZ8" i="6" s="1"/>
  <c r="BA8" i="6" s="1"/>
  <c r="BB8" i="6" s="1"/>
  <c r="BC8" i="6" s="1"/>
  <c r="BD8" i="6" s="1"/>
  <c r="BE8" i="6" s="1"/>
  <c r="BF8" i="6" s="1"/>
  <c r="BG8" i="6" s="1"/>
  <c r="BH8" i="6" s="1"/>
  <c r="BI8" i="6" s="1"/>
  <c r="BJ8" i="6" s="1"/>
  <c r="BK8" i="6" s="1"/>
  <c r="BL8" i="6" s="1"/>
  <c r="BM8" i="6" s="1"/>
  <c r="BN8" i="6" s="1"/>
  <c r="BO8" i="6" s="1"/>
  <c r="BP8" i="6" s="1"/>
  <c r="BQ8" i="6" s="1"/>
  <c r="BR8" i="6" s="1"/>
  <c r="BS8" i="6" s="1"/>
  <c r="BT8" i="6" s="1"/>
  <c r="J13" i="6"/>
  <c r="AT13" i="6" s="1"/>
  <c r="J14" i="6"/>
  <c r="AT14" i="6"/>
  <c r="J5" i="6"/>
  <c r="AT5" i="6"/>
  <c r="J9" i="6"/>
  <c r="AT9" i="6" s="1"/>
  <c r="V9" i="1"/>
  <c r="W9" i="1" s="1"/>
  <c r="H10" i="4"/>
  <c r="V8" i="1"/>
  <c r="W8" i="1" s="1"/>
  <c r="H9" i="4"/>
  <c r="I6" i="6"/>
  <c r="E23" i="2" s="1"/>
  <c r="AP6" i="6"/>
  <c r="AO6" i="6"/>
  <c r="AS6" i="6"/>
  <c r="G22" i="2"/>
  <c r="F23" i="2"/>
  <c r="K7" i="6"/>
  <c r="AU7" i="6"/>
  <c r="AV7" i="6" s="1"/>
  <c r="AW7" i="6" s="1"/>
  <c r="AX7" i="6" s="1"/>
  <c r="AY7" i="6" s="1"/>
  <c r="AZ7" i="6" s="1"/>
  <c r="BA7" i="6" s="1"/>
  <c r="BB7" i="6" s="1"/>
  <c r="BC7" i="6" s="1"/>
  <c r="BD7" i="6" s="1"/>
  <c r="BE7" i="6" s="1"/>
  <c r="BF7" i="6" s="1"/>
  <c r="BG7" i="6" s="1"/>
  <c r="BH7" i="6" s="1"/>
  <c r="BI7" i="6" s="1"/>
  <c r="BJ7" i="6" s="1"/>
  <c r="BK7" i="6" s="1"/>
  <c r="BL7" i="6" s="1"/>
  <c r="BM7" i="6" s="1"/>
  <c r="BN7" i="6" s="1"/>
  <c r="BO7" i="6" s="1"/>
  <c r="BP7" i="6" s="1"/>
  <c r="BQ7" i="6" s="1"/>
  <c r="BR7" i="6" s="1"/>
  <c r="BS7" i="6" s="1"/>
  <c r="BT7" i="6" s="1"/>
  <c r="K10" i="6"/>
  <c r="AU10" i="6"/>
  <c r="K13" i="6" l="1"/>
  <c r="AU13" i="6"/>
  <c r="AV13" i="6" s="1"/>
  <c r="AW13" i="6" s="1"/>
  <c r="AX13" i="6" s="1"/>
  <c r="AY13" i="6" s="1"/>
  <c r="AZ13" i="6" s="1"/>
  <c r="BA13" i="6" s="1"/>
  <c r="BB13" i="6" s="1"/>
  <c r="BC13" i="6" s="1"/>
  <c r="BD13" i="6" s="1"/>
  <c r="BE13" i="6" s="1"/>
  <c r="BF13" i="6" s="1"/>
  <c r="BG13" i="6" s="1"/>
  <c r="BH13" i="6" s="1"/>
  <c r="BI13" i="6" s="1"/>
  <c r="BJ13" i="6" s="1"/>
  <c r="BK13" i="6" s="1"/>
  <c r="BL13" i="6" s="1"/>
  <c r="BM13" i="6" s="1"/>
  <c r="BN13" i="6" s="1"/>
  <c r="BO13" i="6" s="1"/>
  <c r="BP13" i="6" s="1"/>
  <c r="BQ13" i="6" s="1"/>
  <c r="BR13" i="6" s="1"/>
  <c r="BS13" i="6" s="1"/>
  <c r="BT13" i="6" s="1"/>
  <c r="K14" i="6"/>
  <c r="AU14" i="6"/>
  <c r="K5" i="6"/>
  <c r="AU5" i="6"/>
  <c r="K9" i="6"/>
  <c r="AU9" i="6" s="1"/>
  <c r="T6" i="1"/>
  <c r="S6" i="1"/>
  <c r="J6" i="6"/>
  <c r="G23" i="2"/>
  <c r="L10" i="6"/>
  <c r="AV10" i="6" s="1"/>
  <c r="L14" i="6" l="1"/>
  <c r="AV14" i="6"/>
  <c r="L5" i="6"/>
  <c r="AV5" i="6"/>
  <c r="L9" i="6"/>
  <c r="AV9" i="6"/>
  <c r="AW9" i="6" s="1"/>
  <c r="AX9" i="6" s="1"/>
  <c r="AY9" i="6" s="1"/>
  <c r="AZ9" i="6" s="1"/>
  <c r="BA9" i="6" s="1"/>
  <c r="BB9" i="6" s="1"/>
  <c r="BC9" i="6" s="1"/>
  <c r="BD9" i="6" s="1"/>
  <c r="BE9" i="6" s="1"/>
  <c r="BF9" i="6" s="1"/>
  <c r="BG9" i="6" s="1"/>
  <c r="BH9" i="6" s="1"/>
  <c r="BI9" i="6" s="1"/>
  <c r="BJ9" i="6" s="1"/>
  <c r="BK9" i="6" s="1"/>
  <c r="BL9" i="6" s="1"/>
  <c r="BM9" i="6" s="1"/>
  <c r="BN9" i="6" s="1"/>
  <c r="BO9" i="6" s="1"/>
  <c r="BP9" i="6" s="1"/>
  <c r="BQ9" i="6" s="1"/>
  <c r="BR9" i="6" s="1"/>
  <c r="BS9" i="6" s="1"/>
  <c r="BT9" i="6" s="1"/>
  <c r="U6" i="1"/>
  <c r="N20" i="3"/>
  <c r="N17" i="3"/>
  <c r="N14" i="3"/>
  <c r="N9" i="3"/>
  <c r="N23" i="3"/>
  <c r="N38" i="3"/>
  <c r="N60" i="3"/>
  <c r="N28" i="3"/>
  <c r="N49" i="3"/>
  <c r="N32" i="3"/>
  <c r="N12" i="3"/>
  <c r="N6" i="3"/>
  <c r="N55" i="3"/>
  <c r="N29" i="3"/>
  <c r="N52" i="3"/>
  <c r="N35" i="3"/>
  <c r="N41" i="3"/>
  <c r="N40" i="3"/>
  <c r="N13" i="3"/>
  <c r="N7" i="3"/>
  <c r="N15" i="3"/>
  <c r="N19" i="3"/>
  <c r="N45" i="3"/>
  <c r="N25" i="3"/>
  <c r="N26" i="3"/>
  <c r="N10" i="3"/>
  <c r="N31" i="3"/>
  <c r="N30" i="3"/>
  <c r="N22" i="3"/>
  <c r="N63" i="3"/>
  <c r="N59" i="3"/>
  <c r="N51" i="3"/>
  <c r="N44" i="3"/>
  <c r="N37" i="3"/>
  <c r="N27" i="3"/>
  <c r="N57" i="3"/>
  <c r="N48" i="3"/>
  <c r="N24" i="3"/>
  <c r="N16" i="3"/>
  <c r="N62" i="3"/>
  <c r="N58" i="3"/>
  <c r="N50" i="3"/>
  <c r="N42" i="3"/>
  <c r="N36" i="3"/>
  <c r="N56" i="3"/>
  <c r="N18" i="3"/>
  <c r="N8" i="3"/>
  <c r="N65" i="3"/>
  <c r="N61" i="3"/>
  <c r="N53" i="3"/>
  <c r="N46" i="3"/>
  <c r="N54" i="3"/>
  <c r="N33" i="3"/>
  <c r="N34" i="3"/>
  <c r="N11" i="3"/>
  <c r="N39" i="3"/>
  <c r="N47" i="3"/>
  <c r="N64" i="3"/>
  <c r="N43" i="3"/>
  <c r="N21" i="3"/>
  <c r="M10" i="6"/>
  <c r="AW10" i="6" s="1"/>
  <c r="E24" i="2"/>
  <c r="F24" i="2" s="1"/>
  <c r="AT6" i="6"/>
  <c r="M14" i="6" l="1"/>
  <c r="AW14" i="6" s="1"/>
  <c r="M5" i="6"/>
  <c r="AW5" i="6" s="1"/>
  <c r="V6" i="1"/>
  <c r="H7" i="4"/>
  <c r="E20" i="3"/>
  <c r="B20" i="3"/>
  <c r="C20" i="3"/>
  <c r="D20" i="3"/>
  <c r="F20" i="3"/>
  <c r="G20" i="3"/>
  <c r="I20" i="3"/>
  <c r="H20" i="3"/>
  <c r="E17" i="3"/>
  <c r="B17" i="3"/>
  <c r="C17" i="3"/>
  <c r="D17" i="3"/>
  <c r="F17" i="3"/>
  <c r="G17" i="3"/>
  <c r="H17" i="3"/>
  <c r="I17" i="3"/>
  <c r="E14" i="3"/>
  <c r="B14" i="3"/>
  <c r="C14" i="3"/>
  <c r="D14" i="3"/>
  <c r="F14" i="3"/>
  <c r="G14" i="3"/>
  <c r="H14" i="3"/>
  <c r="I14" i="3"/>
  <c r="B9" i="3"/>
  <c r="C9" i="3"/>
  <c r="D9" i="3"/>
  <c r="E9" i="3" s="1"/>
  <c r="F9" i="3"/>
  <c r="G9" i="3"/>
  <c r="H9" i="3"/>
  <c r="I9" i="3"/>
  <c r="E23" i="3"/>
  <c r="B23" i="3"/>
  <c r="C23" i="3"/>
  <c r="D23" i="3"/>
  <c r="F23" i="3"/>
  <c r="G23" i="3"/>
  <c r="H23" i="3"/>
  <c r="I23" i="3"/>
  <c r="I38" i="3"/>
  <c r="E38" i="3"/>
  <c r="B38" i="3"/>
  <c r="C38" i="3"/>
  <c r="D38" i="3"/>
  <c r="F38" i="3"/>
  <c r="G38" i="3"/>
  <c r="H38" i="3"/>
  <c r="E60" i="3"/>
  <c r="B60" i="3"/>
  <c r="C60" i="3"/>
  <c r="D60" i="3"/>
  <c r="F60" i="3"/>
  <c r="G60" i="3"/>
  <c r="H60" i="3"/>
  <c r="I60" i="3"/>
  <c r="B28" i="3"/>
  <c r="C28" i="3"/>
  <c r="E28" i="3"/>
  <c r="D28" i="3"/>
  <c r="F28" i="3"/>
  <c r="G28" i="3"/>
  <c r="H28" i="3"/>
  <c r="I28" i="3"/>
  <c r="E49" i="3"/>
  <c r="B49" i="3"/>
  <c r="C49" i="3"/>
  <c r="D49" i="3"/>
  <c r="F49" i="3"/>
  <c r="G49" i="3"/>
  <c r="H49" i="3"/>
  <c r="I49" i="3"/>
  <c r="E32" i="3"/>
  <c r="B32" i="3"/>
  <c r="C32" i="3"/>
  <c r="D32" i="3"/>
  <c r="F32" i="3"/>
  <c r="G32" i="3"/>
  <c r="H32" i="3"/>
  <c r="I32" i="3"/>
  <c r="B12" i="3"/>
  <c r="C12" i="3"/>
  <c r="D12" i="3"/>
  <c r="E12" i="3" s="1"/>
  <c r="F12" i="3"/>
  <c r="G12" i="3"/>
  <c r="H12" i="3"/>
  <c r="I12" i="3"/>
  <c r="B6" i="3"/>
  <c r="C6" i="3"/>
  <c r="D6" i="3"/>
  <c r="E6" i="3" s="1"/>
  <c r="F6" i="3"/>
  <c r="G6" i="3"/>
  <c r="H6" i="3"/>
  <c r="I6" i="3"/>
  <c r="E55" i="3"/>
  <c r="C55" i="3"/>
  <c r="D55" i="3"/>
  <c r="G55" i="3"/>
  <c r="I55" i="3"/>
  <c r="B55" i="3"/>
  <c r="F55" i="3"/>
  <c r="H55" i="3"/>
  <c r="G29" i="3"/>
  <c r="E29" i="3"/>
  <c r="B29" i="3"/>
  <c r="C29" i="3"/>
  <c r="D29" i="3"/>
  <c r="F29" i="3"/>
  <c r="H29" i="3"/>
  <c r="I29" i="3"/>
  <c r="E52" i="3"/>
  <c r="B52" i="3"/>
  <c r="C52" i="3"/>
  <c r="D52" i="3"/>
  <c r="F52" i="3"/>
  <c r="G52" i="3"/>
  <c r="H52" i="3"/>
  <c r="I52" i="3"/>
  <c r="E35" i="3"/>
  <c r="B35" i="3"/>
  <c r="C35" i="3"/>
  <c r="D35" i="3"/>
  <c r="F35" i="3"/>
  <c r="G35" i="3"/>
  <c r="H35" i="3"/>
  <c r="I35" i="3"/>
  <c r="E41" i="3"/>
  <c r="B41" i="3"/>
  <c r="C41" i="3"/>
  <c r="D41" i="3"/>
  <c r="F41" i="3"/>
  <c r="G41" i="3"/>
  <c r="H41" i="3"/>
  <c r="I41" i="3"/>
  <c r="E40" i="3"/>
  <c r="B40" i="3"/>
  <c r="C40" i="3"/>
  <c r="D40" i="3"/>
  <c r="F40" i="3"/>
  <c r="G40" i="3"/>
  <c r="H40" i="3"/>
  <c r="I40" i="3"/>
  <c r="B13" i="3"/>
  <c r="C13" i="3"/>
  <c r="D13" i="3"/>
  <c r="E13" i="3" s="1"/>
  <c r="F13" i="3"/>
  <c r="G13" i="3"/>
  <c r="H13" i="3"/>
  <c r="I13" i="3"/>
  <c r="B7" i="3"/>
  <c r="C7" i="3"/>
  <c r="D7" i="3"/>
  <c r="E7" i="3" s="1"/>
  <c r="F7" i="3"/>
  <c r="G7" i="3"/>
  <c r="H7" i="3"/>
  <c r="I7" i="3"/>
  <c r="E15" i="3"/>
  <c r="B15" i="3"/>
  <c r="C15" i="3"/>
  <c r="D15" i="3"/>
  <c r="F15" i="3"/>
  <c r="G15" i="3"/>
  <c r="H15" i="3"/>
  <c r="I15" i="3"/>
  <c r="E19" i="3"/>
  <c r="B19" i="3"/>
  <c r="C19" i="3"/>
  <c r="D19" i="3"/>
  <c r="F19" i="3"/>
  <c r="G19" i="3"/>
  <c r="H19" i="3"/>
  <c r="I19" i="3"/>
  <c r="D45" i="3"/>
  <c r="H45" i="3"/>
  <c r="I45" i="3"/>
  <c r="E45" i="3"/>
  <c r="B45" i="3"/>
  <c r="C45" i="3"/>
  <c r="F45" i="3"/>
  <c r="G45" i="3"/>
  <c r="E25" i="3"/>
  <c r="B25" i="3"/>
  <c r="C25" i="3"/>
  <c r="D25" i="3"/>
  <c r="F25" i="3"/>
  <c r="G25" i="3"/>
  <c r="H25" i="3"/>
  <c r="I25" i="3"/>
  <c r="E26" i="3"/>
  <c r="B26" i="3"/>
  <c r="C26" i="3"/>
  <c r="D26" i="3"/>
  <c r="F26" i="3"/>
  <c r="G26" i="3"/>
  <c r="H26" i="3"/>
  <c r="I26" i="3"/>
  <c r="B10" i="3"/>
  <c r="C10" i="3"/>
  <c r="D10" i="3"/>
  <c r="E10" i="3" s="1"/>
  <c r="F10" i="3"/>
  <c r="G10" i="3"/>
  <c r="H10" i="3"/>
  <c r="I10" i="3"/>
  <c r="E31" i="3"/>
  <c r="B31" i="3"/>
  <c r="C31" i="3"/>
  <c r="D31" i="3"/>
  <c r="F31" i="3"/>
  <c r="G31" i="3"/>
  <c r="H31" i="3"/>
  <c r="I31" i="3"/>
  <c r="E30" i="3"/>
  <c r="B30" i="3"/>
  <c r="C30" i="3"/>
  <c r="D30" i="3"/>
  <c r="F30" i="3"/>
  <c r="H30" i="3"/>
  <c r="I30" i="3"/>
  <c r="G30" i="3"/>
  <c r="H22" i="3"/>
  <c r="E22" i="3"/>
  <c r="B22" i="3"/>
  <c r="C22" i="3"/>
  <c r="D22" i="3"/>
  <c r="F22" i="3"/>
  <c r="G22" i="3"/>
  <c r="I22" i="3"/>
  <c r="E63" i="3"/>
  <c r="B63" i="3"/>
  <c r="C63" i="3"/>
  <c r="D63" i="3"/>
  <c r="F63" i="3"/>
  <c r="G63" i="3"/>
  <c r="H63" i="3"/>
  <c r="I63" i="3"/>
  <c r="E59" i="3"/>
  <c r="B59" i="3"/>
  <c r="C59" i="3"/>
  <c r="D59" i="3"/>
  <c r="F59" i="3"/>
  <c r="G59" i="3"/>
  <c r="H59" i="3"/>
  <c r="I59" i="3"/>
  <c r="E51" i="3"/>
  <c r="B51" i="3"/>
  <c r="C51" i="3"/>
  <c r="D51" i="3"/>
  <c r="F51" i="3"/>
  <c r="G51" i="3"/>
  <c r="H51" i="3"/>
  <c r="I51" i="3"/>
  <c r="E44" i="3"/>
  <c r="B44" i="3"/>
  <c r="C44" i="3"/>
  <c r="D44" i="3"/>
  <c r="F44" i="3"/>
  <c r="G44" i="3"/>
  <c r="H44" i="3"/>
  <c r="I44" i="3"/>
  <c r="E37" i="3"/>
  <c r="C37" i="3"/>
  <c r="D37" i="3"/>
  <c r="G37" i="3"/>
  <c r="I37" i="3"/>
  <c r="B37" i="3"/>
  <c r="F37" i="3"/>
  <c r="H37" i="3"/>
  <c r="E27" i="3"/>
  <c r="B27" i="3"/>
  <c r="C27" i="3"/>
  <c r="D27" i="3"/>
  <c r="F27" i="3"/>
  <c r="G27" i="3"/>
  <c r="H27" i="3"/>
  <c r="I27" i="3"/>
  <c r="E57" i="3"/>
  <c r="B57" i="3"/>
  <c r="C57" i="3"/>
  <c r="D57" i="3"/>
  <c r="F57" i="3"/>
  <c r="G57" i="3"/>
  <c r="H57" i="3"/>
  <c r="I57" i="3"/>
  <c r="E48" i="3"/>
  <c r="B48" i="3"/>
  <c r="C48" i="3"/>
  <c r="D48" i="3"/>
  <c r="F48" i="3"/>
  <c r="G48" i="3"/>
  <c r="H48" i="3"/>
  <c r="I48" i="3"/>
  <c r="B24" i="3"/>
  <c r="D24" i="3"/>
  <c r="G24" i="3"/>
  <c r="I24" i="3"/>
  <c r="E24" i="3"/>
  <c r="C24" i="3"/>
  <c r="F24" i="3"/>
  <c r="H24" i="3"/>
  <c r="H16" i="3"/>
  <c r="E16" i="3"/>
  <c r="B16" i="3"/>
  <c r="C16" i="3"/>
  <c r="D16" i="3"/>
  <c r="F16" i="3"/>
  <c r="G16" i="3"/>
  <c r="I16" i="3"/>
  <c r="E62" i="3"/>
  <c r="B62" i="3"/>
  <c r="C62" i="3"/>
  <c r="D62" i="3"/>
  <c r="F62" i="3"/>
  <c r="G62" i="3"/>
  <c r="H62" i="3"/>
  <c r="I62" i="3"/>
  <c r="E58" i="3"/>
  <c r="B58" i="3"/>
  <c r="C58" i="3"/>
  <c r="D58" i="3"/>
  <c r="F58" i="3"/>
  <c r="G58" i="3"/>
  <c r="H58" i="3"/>
  <c r="I58" i="3"/>
  <c r="E50" i="3"/>
  <c r="B50" i="3"/>
  <c r="C50" i="3"/>
  <c r="D50" i="3"/>
  <c r="F50" i="3"/>
  <c r="G50" i="3"/>
  <c r="H50" i="3"/>
  <c r="I50" i="3"/>
  <c r="E42" i="3"/>
  <c r="B42" i="3"/>
  <c r="C42" i="3"/>
  <c r="D42" i="3"/>
  <c r="F42" i="3"/>
  <c r="G42" i="3"/>
  <c r="H42" i="3"/>
  <c r="I42" i="3"/>
  <c r="F36" i="3"/>
  <c r="I36" i="3"/>
  <c r="E36" i="3"/>
  <c r="B36" i="3"/>
  <c r="C36" i="3"/>
  <c r="D36" i="3"/>
  <c r="G36" i="3"/>
  <c r="H36" i="3"/>
  <c r="E56" i="3"/>
  <c r="B56" i="3"/>
  <c r="C56" i="3"/>
  <c r="D56" i="3"/>
  <c r="F56" i="3"/>
  <c r="G56" i="3"/>
  <c r="H56" i="3"/>
  <c r="I56" i="3"/>
  <c r="E18" i="3"/>
  <c r="B18" i="3"/>
  <c r="C18" i="3"/>
  <c r="D18" i="3"/>
  <c r="F18" i="3"/>
  <c r="G18" i="3"/>
  <c r="H18" i="3"/>
  <c r="I18" i="3"/>
  <c r="B8" i="3"/>
  <c r="C8" i="3"/>
  <c r="D8" i="3"/>
  <c r="E8" i="3" s="1"/>
  <c r="F8" i="3"/>
  <c r="G8" i="3"/>
  <c r="H8" i="3"/>
  <c r="I8" i="3"/>
  <c r="E65" i="3"/>
  <c r="B65" i="3"/>
  <c r="C65" i="3"/>
  <c r="D65" i="3"/>
  <c r="F65" i="3"/>
  <c r="G65" i="3"/>
  <c r="I65" i="3"/>
  <c r="H65" i="3"/>
  <c r="E61" i="3"/>
  <c r="B61" i="3"/>
  <c r="C61" i="3"/>
  <c r="D61" i="3"/>
  <c r="F61" i="3"/>
  <c r="G61" i="3"/>
  <c r="H61" i="3"/>
  <c r="I61" i="3"/>
  <c r="G53" i="3"/>
  <c r="I53" i="3"/>
  <c r="E53" i="3"/>
  <c r="B53" i="3"/>
  <c r="C53" i="3"/>
  <c r="D53" i="3"/>
  <c r="F53" i="3"/>
  <c r="H53" i="3"/>
  <c r="B46" i="3"/>
  <c r="C46" i="3"/>
  <c r="G46" i="3"/>
  <c r="I46" i="3"/>
  <c r="E46" i="3"/>
  <c r="D46" i="3"/>
  <c r="F46" i="3"/>
  <c r="H46" i="3"/>
  <c r="E54" i="3"/>
  <c r="B54" i="3"/>
  <c r="C54" i="3"/>
  <c r="D54" i="3"/>
  <c r="F54" i="3"/>
  <c r="G54" i="3"/>
  <c r="H54" i="3"/>
  <c r="I54" i="3"/>
  <c r="E33" i="3"/>
  <c r="B33" i="3"/>
  <c r="C33" i="3"/>
  <c r="D33" i="3"/>
  <c r="F33" i="3"/>
  <c r="G33" i="3"/>
  <c r="H33" i="3"/>
  <c r="I33" i="3"/>
  <c r="E34" i="3"/>
  <c r="B34" i="3"/>
  <c r="C34" i="3"/>
  <c r="D34" i="3"/>
  <c r="F34" i="3"/>
  <c r="G34" i="3"/>
  <c r="H34" i="3"/>
  <c r="I34" i="3"/>
  <c r="B11" i="3"/>
  <c r="C11" i="3"/>
  <c r="D11" i="3"/>
  <c r="E11" i="3" s="1"/>
  <c r="F11" i="3"/>
  <c r="G11" i="3"/>
  <c r="H11" i="3"/>
  <c r="I11" i="3"/>
  <c r="E39" i="3"/>
  <c r="B39" i="3"/>
  <c r="D39" i="3"/>
  <c r="G39" i="3"/>
  <c r="I39" i="3"/>
  <c r="C39" i="3"/>
  <c r="F39" i="3"/>
  <c r="H39" i="3"/>
  <c r="E47" i="3"/>
  <c r="B47" i="3"/>
  <c r="D47" i="3"/>
  <c r="F47" i="3"/>
  <c r="I47" i="3"/>
  <c r="G47" i="3"/>
  <c r="C47" i="3"/>
  <c r="H47" i="3"/>
  <c r="E64" i="3"/>
  <c r="B64" i="3"/>
  <c r="C64" i="3"/>
  <c r="D64" i="3"/>
  <c r="F64" i="3"/>
  <c r="G64" i="3"/>
  <c r="H64" i="3"/>
  <c r="I64" i="3"/>
  <c r="E43" i="3"/>
  <c r="B43" i="3"/>
  <c r="C43" i="3"/>
  <c r="D43" i="3"/>
  <c r="F43" i="3"/>
  <c r="G43" i="3"/>
  <c r="H43" i="3"/>
  <c r="I43" i="3"/>
  <c r="E21" i="3"/>
  <c r="B21" i="3"/>
  <c r="C21" i="3"/>
  <c r="D21" i="3"/>
  <c r="F21" i="3"/>
  <c r="G21" i="3"/>
  <c r="I21" i="3"/>
  <c r="H21" i="3"/>
  <c r="N10" i="6"/>
  <c r="AX10" i="6"/>
  <c r="G24" i="2"/>
  <c r="K6" i="6"/>
  <c r="N14" i="6" l="1"/>
  <c r="AX14" i="6" s="1"/>
  <c r="N5" i="6"/>
  <c r="AX5" i="6" s="1"/>
  <c r="W6" i="1"/>
  <c r="B62" i="2" s="1"/>
  <c r="M9" i="3"/>
  <c r="M7" i="3"/>
  <c r="M10" i="3" s="1"/>
  <c r="M8" i="3"/>
  <c r="AY10" i="6"/>
  <c r="AZ10" i="6" s="1"/>
  <c r="BA10" i="6" s="1"/>
  <c r="BB10" i="6" s="1"/>
  <c r="BC10" i="6" s="1"/>
  <c r="BD10" i="6" s="1"/>
  <c r="BE10" i="6" s="1"/>
  <c r="BF10" i="6" s="1"/>
  <c r="BG10" i="6" s="1"/>
  <c r="BH10" i="6" s="1"/>
  <c r="BI10" i="6" s="1"/>
  <c r="BJ10" i="6" s="1"/>
  <c r="BK10" i="6" s="1"/>
  <c r="BL10" i="6" s="1"/>
  <c r="BM10" i="6" s="1"/>
  <c r="BN10" i="6" s="1"/>
  <c r="BO10" i="6" s="1"/>
  <c r="BP10" i="6" s="1"/>
  <c r="BQ10" i="6" s="1"/>
  <c r="BR10" i="6" s="1"/>
  <c r="BS10" i="6" s="1"/>
  <c r="BT10" i="6" s="1"/>
  <c r="O10" i="6"/>
  <c r="M11" i="3"/>
  <c r="E25" i="2"/>
  <c r="F25" i="2" s="1"/>
  <c r="AU6" i="6"/>
  <c r="O14" i="6" l="1"/>
  <c r="AY14" i="6" s="1"/>
  <c r="O5" i="6"/>
  <c r="AY5" i="6" s="1"/>
  <c r="F26" i="2"/>
  <c r="G25" i="2"/>
  <c r="L6" i="6"/>
  <c r="P14" i="6" l="1"/>
  <c r="AZ14" i="6"/>
  <c r="BA14" i="6" s="1"/>
  <c r="BB14" i="6" s="1"/>
  <c r="BC14" i="6" s="1"/>
  <c r="BD14" i="6" s="1"/>
  <c r="BE14" i="6" s="1"/>
  <c r="BF14" i="6" s="1"/>
  <c r="BG14" i="6" s="1"/>
  <c r="BH14" i="6" s="1"/>
  <c r="BI14" i="6" s="1"/>
  <c r="BJ14" i="6" s="1"/>
  <c r="BK14" i="6" s="1"/>
  <c r="BL14" i="6" s="1"/>
  <c r="BM14" i="6" s="1"/>
  <c r="BN14" i="6" s="1"/>
  <c r="BO14" i="6" s="1"/>
  <c r="BP14" i="6" s="1"/>
  <c r="BQ14" i="6" s="1"/>
  <c r="BR14" i="6" s="1"/>
  <c r="BS14" i="6" s="1"/>
  <c r="BT14" i="6" s="1"/>
  <c r="P5" i="6"/>
  <c r="AZ5" i="6"/>
  <c r="G26" i="2"/>
  <c r="E26" i="2"/>
  <c r="AV6" i="6"/>
  <c r="Q5" i="6" l="1"/>
  <c r="BA5" i="6" s="1"/>
  <c r="M6" i="6"/>
  <c r="R5" i="6" l="1"/>
  <c r="BB5" i="6" s="1"/>
  <c r="E27" i="2"/>
  <c r="F27" i="2" s="1"/>
  <c r="AW6" i="6"/>
  <c r="S5" i="6" l="1"/>
  <c r="BC5" i="6" s="1"/>
  <c r="G27" i="2"/>
  <c r="F28" i="2"/>
  <c r="G28" i="2" s="1"/>
  <c r="AX6" i="6"/>
  <c r="AY6" i="6" s="1"/>
  <c r="AZ6" i="6" s="1"/>
  <c r="BA6" i="6" s="1"/>
  <c r="BB6" i="6" s="1"/>
  <c r="BC6" i="6" s="1"/>
  <c r="BD6" i="6" s="1"/>
  <c r="BE6" i="6" s="1"/>
  <c r="BF6" i="6" s="1"/>
  <c r="BG6" i="6" s="1"/>
  <c r="BH6" i="6" s="1"/>
  <c r="BI6" i="6" s="1"/>
  <c r="BJ6" i="6" s="1"/>
  <c r="BK6" i="6" s="1"/>
  <c r="BL6" i="6" s="1"/>
  <c r="BM6" i="6" s="1"/>
  <c r="BN6" i="6" s="1"/>
  <c r="BO6" i="6" s="1"/>
  <c r="BP6" i="6" s="1"/>
  <c r="BQ6" i="6" s="1"/>
  <c r="BR6" i="6" s="1"/>
  <c r="BS6" i="6" s="1"/>
  <c r="BT6" i="6" s="1"/>
  <c r="N6" i="6"/>
  <c r="E28" i="2" s="1"/>
  <c r="T5" i="6" l="1"/>
  <c r="BD5" i="6"/>
  <c r="U5" i="6" l="1"/>
  <c r="BE5" i="6" s="1"/>
  <c r="V5" i="6" l="1"/>
  <c r="BF5" i="6" s="1"/>
  <c r="W5" i="6" l="1"/>
  <c r="BG5" i="6" s="1"/>
  <c r="X5" i="6" l="1"/>
  <c r="BH5" i="6" s="1"/>
  <c r="Y5" i="6" l="1"/>
  <c r="BI5" i="6" s="1"/>
  <c r="Z5" i="6" l="1"/>
  <c r="BJ5" i="6" s="1"/>
  <c r="AA5" i="6" l="1"/>
  <c r="BK5" i="6" s="1"/>
  <c r="AB5" i="6" l="1"/>
  <c r="BL5" i="6" s="1"/>
  <c r="AC5" i="6" l="1"/>
  <c r="BM5" i="6" s="1"/>
  <c r="AD5" i="6" l="1"/>
  <c r="BN5" i="6" s="1"/>
  <c r="AE5" i="6" l="1"/>
  <c r="BO5" i="6" s="1"/>
  <c r="AF5" i="6" l="1"/>
  <c r="BP5" i="6" s="1"/>
  <c r="AG5" i="6" l="1"/>
  <c r="BQ5" i="6" s="1"/>
  <c r="AH5" i="6" l="1"/>
  <c r="BR5" i="6" s="1"/>
  <c r="AI5" i="6" l="1"/>
  <c r="BS5" i="6" s="1"/>
  <c r="AJ5" i="6" l="1"/>
  <c r="BT5" i="6" s="1"/>
</calcChain>
</file>

<file path=xl/sharedStrings.xml><?xml version="1.0" encoding="utf-8"?>
<sst xmlns="http://schemas.openxmlformats.org/spreadsheetml/2006/main" count="311" uniqueCount="217">
  <si>
    <t>Setări</t>
  </si>
  <si>
    <t>Luna de calcul stabilește pentru ce lună se calculează amortizarea și soldurile din registru.</t>
  </si>
  <si>
    <t>Firma</t>
  </si>
  <si>
    <t>Exemplu Instalații SRL</t>
  </si>
  <si>
    <t>CIF</t>
  </si>
  <si>
    <t>RO12345678</t>
  </si>
  <si>
    <t>Anul de calcul</t>
  </si>
  <si>
    <t>Luna de calcul (1–12)</t>
  </si>
  <si>
    <t>Valoarea minimă a unui mijloc fix (lei)</t>
  </si>
  <si>
    <t>Data inventarului</t>
  </si>
  <si>
    <t>Prima zi a lunii de calcul (automat)</t>
  </si>
  <si>
    <t>Grupe de mijloace fixe</t>
  </si>
  <si>
    <t>Grupa</t>
  </si>
  <si>
    <t>Cont imobilizare</t>
  </si>
  <si>
    <t>Cont amortizare</t>
  </si>
  <si>
    <t>Degresivă</t>
  </si>
  <si>
    <t>Accelerată</t>
  </si>
  <si>
    <t>Superaccelerată (2026)</t>
  </si>
  <si>
    <t>1 – Construcții</t>
  </si>
  <si>
    <t>Nu</t>
  </si>
  <si>
    <t>2.1 – Echipamente tehnologice (mașini, utilaje)</t>
  </si>
  <si>
    <t>Da</t>
  </si>
  <si>
    <t>2.2 – Alte aparate și instalații</t>
  </si>
  <si>
    <t>2.2.9 – Calculatoare și echipamente periferice</t>
  </si>
  <si>
    <t>2.3 – Mijloace de transport</t>
  </si>
  <si>
    <t>3 – Mobilier și aparatură birotică</t>
  </si>
  <si>
    <t>Metoda liniară se poate folosi pentru orice grupă. Accelerată: echipamente tehnologice și calculatoare. Superaccelerată: active noi din subgrupa 2.1 puse în funcțiune în 2026 (Codul fiscal, art. 28).</t>
  </si>
  <si>
    <t>Metoda</t>
  </si>
  <si>
    <t>Liniară</t>
  </si>
  <si>
    <t>Motivul ieșirii</t>
  </si>
  <si>
    <t>Vânzare</t>
  </si>
  <si>
    <t>Casare</t>
  </si>
  <si>
    <t>Lipsă la inventar</t>
  </si>
  <si>
    <t>Donație</t>
  </si>
  <si>
    <t>Stare la inventar</t>
  </si>
  <si>
    <t>Bună</t>
  </si>
  <si>
    <t>Uzată</t>
  </si>
  <si>
    <t>Defectă</t>
  </si>
  <si>
    <t>Neutilizată</t>
  </si>
  <si>
    <t>Da / Nu</t>
  </si>
  <si>
    <t>Registrul mijloacelor fixe</t>
  </si>
  <si>
    <t>Un rând pentru fiecare mijloc fix. Amortizarea pornește din luna următoare punerii în funcțiune și se oprește în luna ieșirii.</t>
  </si>
  <si>
    <t>Nr. inventar</t>
  </si>
  <si>
    <t>Denumirea mijlocului fix</t>
  </si>
  <si>
    <t>Cod de clasificare</t>
  </si>
  <si>
    <t>Document de intrare</t>
  </si>
  <si>
    <t>Data intrării</t>
  </si>
  <si>
    <t>Data punerii în funcțiune</t>
  </si>
  <si>
    <t>Valoare de intrare</t>
  </si>
  <si>
    <t>Durata normală (ani)</t>
  </si>
  <si>
    <t>Metoda de amortizare</t>
  </si>
  <si>
    <t>Locul de folosință</t>
  </si>
  <si>
    <t>Responsabil</t>
  </si>
  <si>
    <t>Data ieșirii</t>
  </si>
  <si>
    <t>Găsit la inventar</t>
  </si>
  <si>
    <t>Începutul amortizării</t>
  </si>
  <si>
    <t>Amortizare în luna de calcul</t>
  </si>
  <si>
    <t>Amortizare cumulată</t>
  </si>
  <si>
    <t>Valoare rămasă</t>
  </si>
  <si>
    <t>Status</t>
  </si>
  <si>
    <t>Verificare</t>
  </si>
  <si>
    <t>MF-001</t>
  </si>
  <si>
    <t>Hală depozit Ploiești</t>
  </si>
  <si>
    <t>1.2.3</t>
  </si>
  <si>
    <t>PV recepție nr. 12/2019</t>
  </si>
  <si>
    <t>Ploiești, Str. Depozitelor 4</t>
  </si>
  <si>
    <t>Mihai Georgescu</t>
  </si>
  <si>
    <t>MF-002</t>
  </si>
  <si>
    <t>Strung CNC</t>
  </si>
  <si>
    <t>2.1.1</t>
  </si>
  <si>
    <t>Factura FX 2210</t>
  </si>
  <si>
    <t>Atelier</t>
  </si>
  <si>
    <t>Sorin Neagu</t>
  </si>
  <si>
    <t>MF-003</t>
  </si>
  <si>
    <t>Autoutilitară Ford Transit PH-34-EXI</t>
  </si>
  <si>
    <t>2.3.2.1</t>
  </si>
  <si>
    <t>Factura AUTO 554</t>
  </si>
  <si>
    <t>Parc auto</t>
  </si>
  <si>
    <t>Ionescu Mihai</t>
  </si>
  <si>
    <t>MF-004</t>
  </si>
  <si>
    <t>Server și echipamente de rețea</t>
  </si>
  <si>
    <t>2.2.9</t>
  </si>
  <si>
    <t>Factura IT 3301</t>
  </si>
  <si>
    <t>Birou</t>
  </si>
  <si>
    <t>Ana Popescu</t>
  </si>
  <si>
    <t>MF-005</t>
  </si>
  <si>
    <t>Compresor industrial</t>
  </si>
  <si>
    <t>2.1.16</t>
  </si>
  <si>
    <t>Factura CP 118</t>
  </si>
  <si>
    <t>MF-006</t>
  </si>
  <si>
    <t>Mobilier birou (set)</t>
  </si>
  <si>
    <t>3.1</t>
  </si>
  <si>
    <t>Factura MB 77</t>
  </si>
  <si>
    <t>MF-007</t>
  </si>
  <si>
    <t>Laptop pentru proiectare</t>
  </si>
  <si>
    <t>Factura IT 1120</t>
  </si>
  <si>
    <t>Dan Ilie</t>
  </si>
  <si>
    <t>MF-008</t>
  </si>
  <si>
    <t>Multifuncțională laser</t>
  </si>
  <si>
    <t>Factura IT 2015</t>
  </si>
  <si>
    <t>MF-009</t>
  </si>
  <si>
    <t>Aparat de aer condiționat</t>
  </si>
  <si>
    <t>2.2.6</t>
  </si>
  <si>
    <t>Factura CL 45</t>
  </si>
  <si>
    <t>MF-010</t>
  </si>
  <si>
    <t>Generator electric 20 kVA</t>
  </si>
  <si>
    <t>2.1.2</t>
  </si>
  <si>
    <t>Factura GE 66</t>
  </si>
  <si>
    <t>Calculul amortizării (foaie de lucru)</t>
  </si>
  <si>
    <t>Nu modifica această foaie: calculează amortizarea anuală pe anii de utilizare pentru fiecare rând din registru.</t>
  </si>
  <si>
    <t>Valoare</t>
  </si>
  <si>
    <t>Ani</t>
  </si>
  <si>
    <t>Coef.</t>
  </si>
  <si>
    <t>An 1 %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</si>
  <si>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</si>
  <si>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</si>
  <si>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</si>
  <si>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</si>
  <si>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</si>
  <si>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</si>
  <si>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</si>
  <si>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</si>
  <si>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</si>
  <si>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</si>
  <si>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</si>
  <si>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</si>
  <si>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</si>
  <si>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</si>
  <si>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</si>
  <si>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</si>
  <si>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</si>
  <si>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</si>
  <si>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</si>
  <si>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</si>
  <si>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</si>
  <si>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</si>
  <si>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</si>
  <si>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</si>
  <si>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</si>
  <si>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</si>
  <si>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</si>
  <si>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</si>
  <si>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</si>
  <si>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</si>
  <si>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Luni</t>
  </si>
  <si>
    <t>Cumulat</t>
  </si>
  <si>
    <t>Cumulat ant.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</si>
  <si>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</si>
  <si>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</si>
  <si>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</si>
  <si>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</si>
  <si>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</si>
  <si>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</si>
  <si>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</si>
  <si>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</si>
  <si>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</si>
  <si>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</si>
  <si>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</si>
  <si>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</si>
  <si>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</si>
  <si>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</si>
  <si>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</si>
  <si>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</si>
  <si>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</si>
  <si>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</si>
  <si>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</si>
  <si>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</si>
  <si>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</si>
  <si>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</si>
  <si>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</si>
  <si>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</si>
  <si>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</si>
  <si>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</si>
  <si>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</si>
  <si>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</si>
  <si>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</si>
  <si>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</si>
  <si>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Luni ant.</t>
  </si>
  <si>
    <t>Nr. inventar:</t>
  </si>
  <si>
    <t>← scrie numărul de inventar din registru</t>
  </si>
  <si>
    <t>FIȘA MIJLOCULUI FIX</t>
  </si>
  <si>
    <t>Grupa:</t>
  </si>
  <si>
    <t>Cod de clasificare:</t>
  </si>
  <si>
    <t>Document de intrare:</t>
  </si>
  <si>
    <t>Data intrării:</t>
  </si>
  <si>
    <t>Data punerii în funcțiune:</t>
  </si>
  <si>
    <t>Valoare de intrare (lei):</t>
  </si>
  <si>
    <t>Durata normală / metoda:</t>
  </si>
  <si>
    <t>Începutul amortizării:</t>
  </si>
  <si>
    <t>Loc / responsabil:</t>
  </si>
  <si>
    <t>Ieșire:</t>
  </si>
  <si>
    <t>PLANUL DE AMORTIZARE</t>
  </si>
  <si>
    <t>Anul de utilizare</t>
  </si>
  <si>
    <t>De la</t>
  </si>
  <si>
    <t>Până la</t>
  </si>
  <si>
    <t>Amortizare anuală</t>
  </si>
  <si>
    <t>Observații</t>
  </si>
  <si>
    <t>Întocmit</t>
  </si>
  <si>
    <t>Verificat</t>
  </si>
  <si>
    <t>Semnătura ______________</t>
  </si>
  <si>
    <t>Amortizarea lunii</t>
  </si>
  <si>
    <t>Mijloacele fixe amortizate în luna de calcul din Setări, cu totalul pe conturi pentru nota contabilă.</t>
  </si>
  <si>
    <t>Denumire</t>
  </si>
  <si>
    <t>Nota contabilă a lunii</t>
  </si>
  <si>
    <t>Debit</t>
  </si>
  <si>
    <t>Credit</t>
  </si>
  <si>
    <t>Suma</t>
  </si>
  <si>
    <t>Total</t>
  </si>
  <si>
    <t>Control:</t>
  </si>
  <si>
    <t>Lista de inventariere a mijloacelor fixe</t>
  </si>
  <si>
    <t>Mijloacele fixe în patrimoniu la data inventarului. Rezultatul numărătorii („Găsit” și „Stare”) se completează în registru.</t>
  </si>
  <si>
    <t>Nr. crt.</t>
  </si>
  <si>
    <t>Găsit</t>
  </si>
  <si>
    <t>Stare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</si>
  <si>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</si>
  <si>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</si>
  <si>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modelexcel.ro/registru-mijloace-fixe-excel/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</si>
</sst>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4A148C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sz val="10"/>
      <color rgb="FF5D6B64"/>
      <name val="Calibri"/>
      <family val="2"/>
    </font>
    <font>
      <b/>
      <sz val="10"/>
      <color rgb="FF4A148C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b/>
      <sz val="11"/>
      <color theme="1"/>
      <name val="Calibri"/>
      <family val="2"/>
    </font>
    <font>
      <b/>
      <sz val="10"/>
      <color rgb="FF5D6B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BF7FC"/>
        <bgColor indexed="64"/>
      </patternFill>
    </fill>
    <fill>
      <patternFill patternType="solid">
        <fgColor rgb="FF4A148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3E5F5"/>
        <bgColor indexed="64"/>
      </patternFill>
    </fill>
  </fills>
  <borders count="2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horizontal="left"/>
    </xf>
    <xf numFmtId="0" fontId="6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4" fontId="1" fillId="0" borderId="0" xfId="0" applyNumberFormat="1" applyFont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quotePrefix="1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4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14" fontId="1" fillId="4" borderId="1" xfId="0" applyNumberFormat="1" applyFont="1" applyFill="1" applyBorder="1" applyAlignment="1">
      <alignment horizontal="center" vertical="top"/>
    </xf>
    <xf numFmtId="4" fontId="1" fillId="4" borderId="1" xfId="0" applyNumberFormat="1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8" fillId="0" borderId="1" xfId="0" applyFont="1" applyBorder="1" applyAlignment="1">
      <alignment vertical="top" wrapText="1"/>
    </xf>
    <xf numFmtId="1" fontId="1" fillId="0" borderId="0" xfId="0" applyNumberFormat="1" applyFont="1"/>
    <xf numFmtId="0" fontId="4" fillId="4" borderId="0" xfId="0" applyFont="1" applyFill="1"/>
    <xf numFmtId="0" fontId="9" fillId="5" borderId="0" xfId="0" applyFont="1" applyFill="1" applyAlignment="1">
      <alignment horizontal="center"/>
    </xf>
    <xf numFmtId="0" fontId="10" fillId="0" borderId="0" xfId="0" applyFont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6" fillId="0" borderId="1" xfId="0" applyFont="1" applyBorder="1"/>
    <xf numFmtId="0" fontId="9" fillId="0" borderId="0" xfId="0" applyFont="1"/>
    <xf numFmtId="0" fontId="4" fillId="5" borderId="1" xfId="0" applyFont="1" applyFill="1" applyBorder="1"/>
    <xf numFmtId="4" fontId="4" fillId="5" borderId="1" xfId="0" applyNumberFormat="1" applyFont="1" applyFill="1" applyBorder="1"/>
    <xf numFmtId="4" fontId="5" fillId="0" borderId="0" xfId="0" applyNumberFormat="1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wrapText="1"/>
    </xf>
    <xf numFmtId="0" fontId="1" fillId="0" borderId="0" xfId="0" applyFont="1" applyAlignment="1">
      <alignment wrapText="1"/>
    </xf>
    <xf numFmtId="4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7">
    <dxf>
      <font>
        <b/>
        <i val="0"/>
        <color rgb="FFFFFFFF"/>
      </font>
      <fill>
        <patternFill>
          <bgColor rgb="FFB4322A"/>
        </patternFill>
      </fill>
    </dxf>
    <dxf>
      <border>
        <left/>
        <right/>
        <top/>
        <bottom/>
      </border>
    </dxf>
    <dxf>
      <fill>
        <patternFill>
          <bgColor rgb="FFF3E5F5"/>
        </patternFill>
      </fill>
    </dxf>
    <dxf>
      <font>
        <b val="0"/>
        <i/>
        <color rgb="FF5D6B64"/>
      </font>
    </dxf>
    <dxf>
      <font>
        <b/>
        <i val="0"/>
        <color rgb="FFC06000"/>
      </font>
    </dxf>
    <dxf>
      <font>
        <b/>
        <i val="0"/>
        <color rgb="FF327D2E"/>
      </font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registru-mijloace-fixe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BAFE0-83D1-4053-B503-2C6C071823F3}">
  <sheetPr>
    <pageSetUpPr fitToPage="1"/>
  </sheetPr>
  <dimension ref="B1:ZZ1000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9.7109375" style="1" customWidth="1"/>
    <col min="3" max="3" width="24.7109375" style="1" customWidth="1"/>
    <col min="4" max="4" width="20.7109375" style="1" customWidth="1"/>
    <col min="5" max="5" width="9.7109375" style="1" customWidth="1"/>
    <col min="6" max="6" width="14.7109375" style="1" customWidth="1"/>
    <col min="7" max="8" width="10.7109375" style="1" customWidth="1"/>
    <col min="9" max="9" width="12.7109375" style="1" customWidth="1"/>
    <col min="10" max="10" width="8.7109375" style="1" customWidth="1"/>
    <col min="11" max="11" width="13.7109375" style="1" customWidth="1"/>
    <col min="12" max="12" width="14.7109375" style="1" customWidth="1"/>
    <col min="13" max="13" width="12.7109375" style="1" customWidth="1"/>
    <col min="14" max="15" width="10.7109375" style="1" customWidth="1"/>
    <col min="16" max="16" width="9.7109375" style="1" customWidth="1"/>
    <col min="17" max="18" width="10.7109375" style="1" customWidth="1"/>
    <col min="19" max="19" width="11.7109375" style="1" customWidth="1"/>
    <col min="20" max="21" width="12.7109375" style="1" customWidth="1"/>
    <col min="22" max="22" width="15.7109375" style="1" customWidth="1"/>
    <col min="23" max="23" width="34.7109375" style="1" customWidth="1"/>
    <col min="24" max="16384" width="11.42578125" style="1"/>
  </cols>
  <sheetData>
    <row r="1" spans="2:23" ht="21" x14ac:dyDescent="0.35">
      <c r="B1" s="2" t="s">
        <v>40</v>
      </c>
    </row>
    <row r="2" spans="2:23" x14ac:dyDescent="0.2">
      <c r="B2" s="3" t="s">
        <v>41</v>
      </c>
    </row>
    <row r="3" spans="2:23" x14ac:dyDescent="0.2">
      <c r="B3" s="4" t="str">
        <f>"Luna de calcul: "&amp;TEXT(LunaCalc,"00")&amp;"."&amp;AnCalc&amp;"   ·   "&amp;Firma</f>
        <v>Luna de calcul: 10.2026   ·   Exemplu Instalații SRL</v>
      </c>
    </row>
    <row r="4" spans="2:23" ht="44.1" customHeight="1" x14ac:dyDescent="0.2">
      <c r="B4" s="12" t="s">
        <v>42</v>
      </c>
      <c r="C4" s="12" t="s">
        <v>43</v>
      </c>
      <c r="D4" s="12" t="s">
        <v>12</v>
      </c>
      <c r="E4" s="12" t="s">
        <v>44</v>
      </c>
      <c r="F4" s="12" t="s">
        <v>45</v>
      </c>
      <c r="G4" s="12" t="s">
        <v>46</v>
      </c>
      <c r="H4" s="12" t="s">
        <v>47</v>
      </c>
      <c r="I4" s="12" t="s">
        <v>48</v>
      </c>
      <c r="J4" s="12" t="s">
        <v>49</v>
      </c>
      <c r="K4" s="12" t="s">
        <v>50</v>
      </c>
      <c r="L4" s="12" t="s">
        <v>51</v>
      </c>
      <c r="M4" s="12" t="s">
        <v>52</v>
      </c>
      <c r="N4" s="12" t="s">
        <v>53</v>
      </c>
      <c r="O4" s="12" t="s">
        <v>29</v>
      </c>
      <c r="P4" s="12" t="s">
        <v>54</v>
      </c>
      <c r="Q4" s="12" t="s">
        <v>34</v>
      </c>
      <c r="R4" s="12" t="s">
        <v>55</v>
      </c>
      <c r="S4" s="12" t="s">
        <v>56</v>
      </c>
      <c r="T4" s="12" t="s">
        <v>57</v>
      </c>
      <c r="U4" s="12" t="s">
        <v>58</v>
      </c>
      <c r="V4" s="12" t="s">
        <v>59</v>
      </c>
      <c r="W4" s="12" t="s">
        <v>60</v>
      </c>
    </row>
    <row r="5" spans="2:23" ht="25.5" x14ac:dyDescent="0.2">
      <c r="B5" s="17" t="s">
        <v>61</v>
      </c>
      <c r="C5" s="18" t="s">
        <v>62</v>
      </c>
      <c r="D5" s="18" t="s">
        <v>18</v>
      </c>
      <c r="E5" s="19" t="s">
        <v>63</v>
      </c>
      <c r="F5" s="18" t="s">
        <v>64</v>
      </c>
      <c r="G5" s="20">
        <f>DATE(2019,3,15)</f>
        <v>43539</v>
      </c>
      <c r="H5" s="20">
        <f>DATE(2019,3,15)</f>
        <v>43539</v>
      </c>
      <c r="I5" s="21">
        <v>450000</v>
      </c>
      <c r="J5" s="17">
        <v>40</v>
      </c>
      <c r="K5" s="22" t="s">
        <v>28</v>
      </c>
      <c r="L5" s="18" t="s">
        <v>65</v>
      </c>
      <c r="M5" s="22" t="s">
        <v>66</v>
      </c>
      <c r="N5" s="20"/>
      <c r="O5" s="22"/>
      <c r="P5" s="17" t="s">
        <v>21</v>
      </c>
      <c r="Q5" s="22" t="s">
        <v>35</v>
      </c>
      <c r="R5" s="23">
        <f t="shared" ref="R5:R36" si="0">IF(ISNUMBER(H5),EOMONTH(H5,0)+1,"")</f>
        <v>43556</v>
      </c>
      <c r="S5" s="24">
        <f>IF(B5="","",Calcul!$AO5-Calcul!$AP5)</f>
        <v>937.5</v>
      </c>
      <c r="T5" s="24">
        <f>IF(B5="","",Calcul!$AO5)</f>
        <v>85312.5</v>
      </c>
      <c r="U5" s="24">
        <f t="shared" ref="U5:U36" si="1">IF(B5="","",N(I5)-T5)</f>
        <v>364687.5</v>
      </c>
      <c r="V5" s="25" t="str">
        <f>IF(B5="","",IF(AND(ISNUMBER(N5),N5&lt;=EOMONTH(LunaRef,0)),"Ieșit – "&amp;IF(O5="","motiv necompletat",LOWER(O5)),IF(Calcul!$AN5=0,"Neînceput",IF(U5&lt;0.005,"Complet amortizat","În funcțiune"))))</f>
        <v>În funcțiune</v>
      </c>
      <c r="W5" s="26" t="str">
        <f t="shared" ref="W5:W36" si="2">IF(B5="","",TRIM(IF(COUNTIF($B$5:$B$104,B5)&gt;1,"Nr. de inventar dublat. ","")&amp;IF(OR(C5="",D5="",NOT(ISNUMBER(H5)),N(I5)&lt;=0,N(J5)&lt;=0,K5=""),"Date incomplete. ","")&amp;IF(AND(N(I5)&gt;0,I5&lt;PlafonMF),"Sub "&amp;TEXT(PlafonMF,"#.##0")&amp;" lei: poate fi obiect de inventar. ","")&amp;IF(AND(D5&lt;&gt;"",K5&lt;&gt;""),IF(IFERROR(IF(K5="Liniară",TRUE,IF(K5="Degresivă",VLOOKUP(D5,TabelGrupe,4,FALSE)="Da",IF(K5="Accelerată",VLOOKUP(D5,TabelGrupe,5,FALSE)="Da",IF(K5="Superaccelerată (2026)",AND(VLOOKUP(D5,TabelGrupe,6,FALSE)="Da",YEAR(H5)=2026),FALSE)))),FALSE),"","Metoda nu este permisă pentru această grupă. "),"")&amp;IF(AND(K5&lt;&gt;"Liniară",N(J5)&gt;30),"Peste 30 de ani: folosește metoda liniară. ","")&amp;IF(AND(ISNUMBER(G5),ISNUMBER(H5),H5&lt;G5),"Pus în funcțiune înainte de intrare. ","")&amp;IF(AND(V5="Complet amortizat",P5&lt;&gt;"Nu"),"Complet amortizat: verifică dacă mai este folosit. ","")&amp;IF(AND(ISNUMBER(N5),O5=""),"Lipsește motivul ieșirii. ","")&amp;IF(AND(P5="Nu",NOT(ISNUMBER(N5))),"Negăsit la inventar: întocmește proces-verbal. ","")&amp;IF(AND(Q5="Neutilizată",NOT(ISNUMBER(N5))),"Neutilizat: analizează casarea sau vânzarea. ","")))</f>
        <v/>
      </c>
    </row>
    <row r="6" spans="2:23" ht="38.25" x14ac:dyDescent="0.2">
      <c r="B6" s="17" t="s">
        <v>67</v>
      </c>
      <c r="C6" s="18" t="s">
        <v>68</v>
      </c>
      <c r="D6" s="18" t="s">
        <v>20</v>
      </c>
      <c r="E6" s="19" t="s">
        <v>69</v>
      </c>
      <c r="F6" s="18" t="s">
        <v>70</v>
      </c>
      <c r="G6" s="20">
        <f>DATE(2024,5,10)</f>
        <v>45422</v>
      </c>
      <c r="H6" s="20">
        <f>DATE(2024,5,20)</f>
        <v>45432</v>
      </c>
      <c r="I6" s="21">
        <v>185000</v>
      </c>
      <c r="J6" s="17">
        <v>8</v>
      </c>
      <c r="K6" s="22" t="s">
        <v>15</v>
      </c>
      <c r="L6" s="18" t="s">
        <v>71</v>
      </c>
      <c r="M6" s="22" t="s">
        <v>72</v>
      </c>
      <c r="N6" s="20"/>
      <c r="O6" s="22"/>
      <c r="P6" s="17" t="s">
        <v>21</v>
      </c>
      <c r="Q6" s="22" t="s">
        <v>35</v>
      </c>
      <c r="R6" s="23">
        <f t="shared" si="0"/>
        <v>45444</v>
      </c>
      <c r="S6" s="24">
        <f>IF(B6="","",Calcul!$AO6-Calcul!$AP6)</f>
        <v>2167.96875</v>
      </c>
      <c r="T6" s="24">
        <f>IF(B6="","",Calcul!$AO6)</f>
        <v>91777.34375</v>
      </c>
      <c r="U6" s="24">
        <f t="shared" si="1"/>
        <v>93222.65625</v>
      </c>
      <c r="V6" s="25" t="str">
        <f>IF(B6="","",IF(AND(ISNUMBER(N6),N6&lt;=EOMONTH(LunaRef,0)),"Ieșit – "&amp;IF(O6="","motiv necompletat",LOWER(O6)),IF(Calcul!$AN6=0,"Neînceput",IF(U6&lt;0.005,"Complet amortizat","În funcțiune"))))</f>
        <v>În funcțiune</v>
      </c>
      <c r="W6" s="26" t="str">
        <f t="shared" si="2"/>
        <v/>
      </c>
    </row>
    <row r="7" spans="2:23" ht="25.5" x14ac:dyDescent="0.2">
      <c r="B7" s="17" t="s">
        <v>73</v>
      </c>
      <c r="C7" s="18" t="s">
        <v>74</v>
      </c>
      <c r="D7" s="18" t="s">
        <v>24</v>
      </c>
      <c r="E7" s="19" t="s">
        <v>75</v>
      </c>
      <c r="F7" s="18" t="s">
        <v>76</v>
      </c>
      <c r="G7" s="20">
        <f>DATE(2023,9,5)</f>
        <v>45174</v>
      </c>
      <c r="H7" s="20">
        <f>DATE(2023,9,10)</f>
        <v>45179</v>
      </c>
      <c r="I7" s="21">
        <v>128000</v>
      </c>
      <c r="J7" s="17">
        <v>5</v>
      </c>
      <c r="K7" s="22" t="s">
        <v>28</v>
      </c>
      <c r="L7" s="18" t="s">
        <v>77</v>
      </c>
      <c r="M7" s="22" t="s">
        <v>78</v>
      </c>
      <c r="N7" s="20"/>
      <c r="O7" s="22"/>
      <c r="P7" s="17" t="s">
        <v>21</v>
      </c>
      <c r="Q7" s="22" t="s">
        <v>35</v>
      </c>
      <c r="R7" s="23">
        <f t="shared" si="0"/>
        <v>45200</v>
      </c>
      <c r="S7" s="24">
        <f>IF(B7="","",Calcul!$AO7-Calcul!$AP7)</f>
        <v>2133.3333333333285</v>
      </c>
      <c r="T7" s="24">
        <f>IF(B7="","",Calcul!$AO7)</f>
        <v>78933.333333333328</v>
      </c>
      <c r="U7" s="24">
        <f t="shared" si="1"/>
        <v>49066.666666666672</v>
      </c>
      <c r="V7" s="25" t="str">
        <f>IF(B7="","",IF(AND(ISNUMBER(N7),N7&lt;=EOMONTH(LunaRef,0)),"Ieșit – "&amp;IF(O7="","motiv necompletat",LOWER(O7)),IF(Calcul!$AN7=0,"Neînceput",IF(U7&lt;0.005,"Complet amortizat","În funcțiune"))))</f>
        <v>În funcțiune</v>
      </c>
      <c r="W7" s="26" t="str">
        <f t="shared" si="2"/>
        <v/>
      </c>
    </row>
    <row r="8" spans="2:23" ht="25.5" x14ac:dyDescent="0.2">
      <c r="B8" s="17" t="s">
        <v>79</v>
      </c>
      <c r="C8" s="18" t="s">
        <v>80</v>
      </c>
      <c r="D8" s="18" t="s">
        <v>23</v>
      </c>
      <c r="E8" s="19" t="s">
        <v>81</v>
      </c>
      <c r="F8" s="18" t="s">
        <v>82</v>
      </c>
      <c r="G8" s="20">
        <f>DATE(2025,2,10)</f>
        <v>45698</v>
      </c>
      <c r="H8" s="20">
        <f>DATE(2025,2,12)</f>
        <v>45700</v>
      </c>
      <c r="I8" s="21">
        <v>32500</v>
      </c>
      <c r="J8" s="17">
        <v>4</v>
      </c>
      <c r="K8" s="22" t="s">
        <v>16</v>
      </c>
      <c r="L8" s="18" t="s">
        <v>83</v>
      </c>
      <c r="M8" s="22" t="s">
        <v>84</v>
      </c>
      <c r="N8" s="20"/>
      <c r="O8" s="22"/>
      <c r="P8" s="17" t="s">
        <v>21</v>
      </c>
      <c r="Q8" s="22" t="s">
        <v>35</v>
      </c>
      <c r="R8" s="23">
        <f t="shared" si="0"/>
        <v>45717</v>
      </c>
      <c r="S8" s="24">
        <f>IF(B8="","",Calcul!$AO8-Calcul!$AP8)</f>
        <v>451.38888888888687</v>
      </c>
      <c r="T8" s="24">
        <f>IF(B8="","",Calcul!$AO8)</f>
        <v>19861.111111111109</v>
      </c>
      <c r="U8" s="24">
        <f t="shared" si="1"/>
        <v>12638.888888888891</v>
      </c>
      <c r="V8" s="25" t="str">
        <f>IF(B8="","",IF(AND(ISNUMBER(N8),N8&lt;=EOMONTH(LunaRef,0)),"Ieșit – "&amp;IF(O8="","motiv necompletat",LOWER(O8)),IF(Calcul!$AN8=0,"Neînceput",IF(U8&lt;0.005,"Complet amortizat","În funcțiune"))))</f>
        <v>În funcțiune</v>
      </c>
      <c r="W8" s="26" t="str">
        <f t="shared" si="2"/>
        <v/>
      </c>
    </row>
    <row r="9" spans="2:23" ht="38.25" x14ac:dyDescent="0.2">
      <c r="B9" s="17" t="s">
        <v>85</v>
      </c>
      <c r="C9" s="18" t="s">
        <v>86</v>
      </c>
      <c r="D9" s="18" t="s">
        <v>20</v>
      </c>
      <c r="E9" s="19" t="s">
        <v>87</v>
      </c>
      <c r="F9" s="18" t="s">
        <v>88</v>
      </c>
      <c r="G9" s="20">
        <f>DATE(2026,4,2)</f>
        <v>46114</v>
      </c>
      <c r="H9" s="20">
        <f>DATE(2026,4,8)</f>
        <v>46120</v>
      </c>
      <c r="I9" s="21">
        <v>46800</v>
      </c>
      <c r="J9" s="17">
        <v>6</v>
      </c>
      <c r="K9" s="22" t="s">
        <v>17</v>
      </c>
      <c r="L9" s="18" t="s">
        <v>71</v>
      </c>
      <c r="M9" s="22" t="s">
        <v>72</v>
      </c>
      <c r="N9" s="20"/>
      <c r="O9" s="22"/>
      <c r="P9" s="17" t="s">
        <v>21</v>
      </c>
      <c r="Q9" s="22" t="s">
        <v>35</v>
      </c>
      <c r="R9" s="23">
        <f t="shared" si="0"/>
        <v>46143</v>
      </c>
      <c r="S9" s="24">
        <f>IF(B9="","",Calcul!$AO9-Calcul!$AP9)</f>
        <v>2535</v>
      </c>
      <c r="T9" s="24">
        <f>IF(B9="","",Calcul!$AO9)</f>
        <v>15210</v>
      </c>
      <c r="U9" s="24">
        <f t="shared" si="1"/>
        <v>31590</v>
      </c>
      <c r="V9" s="25" t="str">
        <f>IF(B9="","",IF(AND(ISNUMBER(N9),N9&lt;=EOMONTH(LunaRef,0)),"Ieșit – "&amp;IF(O9="","motiv necompletat",LOWER(O9)),IF(Calcul!$AN9=0,"Neînceput",IF(U9&lt;0.005,"Complet amortizat","În funcțiune"))))</f>
        <v>În funcțiune</v>
      </c>
      <c r="W9" s="26" t="str">
        <f t="shared" si="2"/>
        <v/>
      </c>
    </row>
    <row r="10" spans="2:23" ht="25.5" x14ac:dyDescent="0.2">
      <c r="B10" s="17" t="s">
        <v>89</v>
      </c>
      <c r="C10" s="18" t="s">
        <v>90</v>
      </c>
      <c r="D10" s="18" t="s">
        <v>25</v>
      </c>
      <c r="E10" s="19" t="s">
        <v>91</v>
      </c>
      <c r="F10" s="18" t="s">
        <v>92</v>
      </c>
      <c r="G10" s="20">
        <f>DATE(2021,6,1)</f>
        <v>44348</v>
      </c>
      <c r="H10" s="20">
        <f>DATE(2021,6,1)</f>
        <v>44348</v>
      </c>
      <c r="I10" s="21">
        <v>14200</v>
      </c>
      <c r="J10" s="17">
        <v>9</v>
      </c>
      <c r="K10" s="22" t="s">
        <v>28</v>
      </c>
      <c r="L10" s="18" t="s">
        <v>83</v>
      </c>
      <c r="M10" s="22" t="s">
        <v>84</v>
      </c>
      <c r="N10" s="20"/>
      <c r="O10" s="22"/>
      <c r="P10" s="17" t="s">
        <v>21</v>
      </c>
      <c r="Q10" s="22" t="s">
        <v>36</v>
      </c>
      <c r="R10" s="23">
        <f t="shared" si="0"/>
        <v>44378</v>
      </c>
      <c r="S10" s="24">
        <f>IF(B10="","",Calcul!$AO10-Calcul!$AP10)</f>
        <v>131.48148148148175</v>
      </c>
      <c r="T10" s="24">
        <f>IF(B10="","",Calcul!$AO10)</f>
        <v>8414.8148148148157</v>
      </c>
      <c r="U10" s="24">
        <f t="shared" si="1"/>
        <v>5785.1851851851843</v>
      </c>
      <c r="V10" s="25" t="str">
        <f>IF(B10="","",IF(AND(ISNUMBER(N10),N10&lt;=EOMONTH(LunaRef,0)),"Ieșit – "&amp;IF(O10="","motiv necompletat",LOWER(O10)),IF(Calcul!$AN10=0,"Neînceput",IF(U10&lt;0.005,"Complet amortizat","În funcțiune"))))</f>
        <v>În funcțiune</v>
      </c>
      <c r="W10" s="26" t="str">
        <f t="shared" si="2"/>
        <v/>
      </c>
    </row>
    <row r="11" spans="2:23" ht="38.25" x14ac:dyDescent="0.2">
      <c r="B11" s="17" t="s">
        <v>93</v>
      </c>
      <c r="C11" s="18" t="s">
        <v>94</v>
      </c>
      <c r="D11" s="18" t="s">
        <v>23</v>
      </c>
      <c r="E11" s="19" t="s">
        <v>81</v>
      </c>
      <c r="F11" s="18" t="s">
        <v>95</v>
      </c>
      <c r="G11" s="20">
        <f>DATE(2020,1,10)</f>
        <v>43840</v>
      </c>
      <c r="H11" s="20">
        <f>DATE(2020,1,15)</f>
        <v>43845</v>
      </c>
      <c r="I11" s="21">
        <v>6400</v>
      </c>
      <c r="J11" s="17">
        <v>3</v>
      </c>
      <c r="K11" s="22" t="s">
        <v>28</v>
      </c>
      <c r="L11" s="18" t="s">
        <v>83</v>
      </c>
      <c r="M11" s="22" t="s">
        <v>96</v>
      </c>
      <c r="N11" s="20"/>
      <c r="O11" s="22"/>
      <c r="P11" s="17" t="s">
        <v>21</v>
      </c>
      <c r="Q11" s="22" t="s">
        <v>38</v>
      </c>
      <c r="R11" s="23">
        <f t="shared" si="0"/>
        <v>43862</v>
      </c>
      <c r="S11" s="24">
        <f>IF(B11="","",Calcul!$AO11-Calcul!$AP11)</f>
        <v>0</v>
      </c>
      <c r="T11" s="24">
        <f>IF(B11="","",Calcul!$AO11)</f>
        <v>6400</v>
      </c>
      <c r="U11" s="24">
        <f t="shared" si="1"/>
        <v>0</v>
      </c>
      <c r="V11" s="25" t="str">
        <f>IF(B11="","",IF(AND(ISNUMBER(N11),N11&lt;=EOMONTH(LunaRef,0)),"Ieșit – "&amp;IF(O11="","motiv necompletat",LOWER(O11)),IF(Calcul!$AN11=0,"Neînceput",IF(U11&lt;0.005,"Complet amortizat","În funcțiune"))))</f>
        <v>Complet amortizat</v>
      </c>
      <c r="W11" s="26" t="str">
        <f t="shared" si="2"/>
        <v>Complet amortizat: verifică dacă mai este folosit. Neutilizat: analizează casarea sau vânzarea.</v>
      </c>
    </row>
    <row r="12" spans="2:23" ht="25.5" x14ac:dyDescent="0.2">
      <c r="B12" s="17" t="s">
        <v>97</v>
      </c>
      <c r="C12" s="18" t="s">
        <v>98</v>
      </c>
      <c r="D12" s="18" t="s">
        <v>23</v>
      </c>
      <c r="E12" s="19" t="s">
        <v>81</v>
      </c>
      <c r="F12" s="18" t="s">
        <v>99</v>
      </c>
      <c r="G12" s="20">
        <f>DATE(2022,3,8)</f>
        <v>44628</v>
      </c>
      <c r="H12" s="20">
        <f>DATE(2022,3,10)</f>
        <v>44630</v>
      </c>
      <c r="I12" s="21">
        <v>7900</v>
      </c>
      <c r="J12" s="17">
        <v>3</v>
      </c>
      <c r="K12" s="22" t="s">
        <v>28</v>
      </c>
      <c r="L12" s="18" t="s">
        <v>83</v>
      </c>
      <c r="M12" s="22" t="s">
        <v>84</v>
      </c>
      <c r="N12" s="20">
        <f>DATE(2026,6,30)</f>
        <v>46203</v>
      </c>
      <c r="O12" s="22" t="s">
        <v>31</v>
      </c>
      <c r="P12" s="17"/>
      <c r="Q12" s="22"/>
      <c r="R12" s="23">
        <f t="shared" si="0"/>
        <v>44652</v>
      </c>
      <c r="S12" s="24">
        <f>IF(B12="","",Calcul!$AO12-Calcul!$AP12)</f>
        <v>0</v>
      </c>
      <c r="T12" s="24">
        <f>IF(B12="","",Calcul!$AO12)</f>
        <v>7900</v>
      </c>
      <c r="U12" s="24">
        <f t="shared" si="1"/>
        <v>0</v>
      </c>
      <c r="V12" s="25" t="str">
        <f>IF(B12="","",IF(AND(ISNUMBER(N12),N12&lt;=EOMONTH(LunaRef,0)),"Ieșit – "&amp;IF(O12="","motiv necompletat",LOWER(O12)),IF(Calcul!$AN12=0,"Neînceput",IF(U12&lt;0.005,"Complet amortizat","În funcțiune"))))</f>
        <v>Ieșit – casare</v>
      </c>
      <c r="W12" s="26" t="str">
        <f t="shared" si="2"/>
        <v/>
      </c>
    </row>
    <row r="13" spans="2:23" ht="25.5" x14ac:dyDescent="0.2">
      <c r="B13" s="17" t="s">
        <v>100</v>
      </c>
      <c r="C13" s="18" t="s">
        <v>101</v>
      </c>
      <c r="D13" s="18" t="s">
        <v>22</v>
      </c>
      <c r="E13" s="19" t="s">
        <v>102</v>
      </c>
      <c r="F13" s="18" t="s">
        <v>103</v>
      </c>
      <c r="G13" s="20">
        <f>DATE(2026,7,1)</f>
        <v>46204</v>
      </c>
      <c r="H13" s="20">
        <f>DATE(2026,7,3)</f>
        <v>46206</v>
      </c>
      <c r="I13" s="21">
        <v>4200</v>
      </c>
      <c r="J13" s="17">
        <v>5</v>
      </c>
      <c r="K13" s="22" t="s">
        <v>28</v>
      </c>
      <c r="L13" s="18" t="s">
        <v>83</v>
      </c>
      <c r="M13" s="22" t="s">
        <v>84</v>
      </c>
      <c r="N13" s="20"/>
      <c r="O13" s="22"/>
      <c r="P13" s="17" t="s">
        <v>21</v>
      </c>
      <c r="Q13" s="22" t="s">
        <v>35</v>
      </c>
      <c r="R13" s="23">
        <f t="shared" si="0"/>
        <v>46235</v>
      </c>
      <c r="S13" s="24">
        <f>IF(B13="","",Calcul!$AO13-Calcul!$AP13)</f>
        <v>70</v>
      </c>
      <c r="T13" s="24">
        <f>IF(B13="","",Calcul!$AO13)</f>
        <v>210</v>
      </c>
      <c r="U13" s="24">
        <f t="shared" si="1"/>
        <v>3990</v>
      </c>
      <c r="V13" s="25" t="str">
        <f>IF(B13="","",IF(AND(ISNUMBER(N13),N13&lt;=EOMONTH(LunaRef,0)),"Ieșit – "&amp;IF(O13="","motiv necompletat",LOWER(O13)),IF(Calcul!$AN13=0,"Neînceput",IF(U13&lt;0.005,"Complet amortizat","În funcțiune"))))</f>
        <v>În funcțiune</v>
      </c>
      <c r="W13" s="26" t="str">
        <f t="shared" si="2"/>
        <v>Sub 5.000 lei: poate fi obiect de inventar.</v>
      </c>
    </row>
    <row r="14" spans="2:23" ht="38.25" x14ac:dyDescent="0.2">
      <c r="B14" s="17" t="s">
        <v>104</v>
      </c>
      <c r="C14" s="18" t="s">
        <v>105</v>
      </c>
      <c r="D14" s="18" t="s">
        <v>20</v>
      </c>
      <c r="E14" s="19" t="s">
        <v>106</v>
      </c>
      <c r="F14" s="18" t="s">
        <v>107</v>
      </c>
      <c r="G14" s="20">
        <f>DATE(2018,5,2)</f>
        <v>43222</v>
      </c>
      <c r="H14" s="20">
        <f>DATE(2018,5,10)</f>
        <v>43230</v>
      </c>
      <c r="I14" s="21">
        <v>22000</v>
      </c>
      <c r="J14" s="17">
        <v>10</v>
      </c>
      <c r="K14" s="22" t="s">
        <v>28</v>
      </c>
      <c r="L14" s="18" t="s">
        <v>71</v>
      </c>
      <c r="M14" s="22" t="s">
        <v>72</v>
      </c>
      <c r="N14" s="20"/>
      <c r="O14" s="22"/>
      <c r="P14" s="17" t="s">
        <v>19</v>
      </c>
      <c r="Q14" s="22"/>
      <c r="R14" s="23">
        <f t="shared" si="0"/>
        <v>43252</v>
      </c>
      <c r="S14" s="24">
        <f>IF(B14="","",Calcul!$AO14-Calcul!$AP14)</f>
        <v>183.33333333333576</v>
      </c>
      <c r="T14" s="24">
        <f>IF(B14="","",Calcul!$AO14)</f>
        <v>18516.666666666668</v>
      </c>
      <c r="U14" s="24">
        <f t="shared" si="1"/>
        <v>3483.3333333333321</v>
      </c>
      <c r="V14" s="25" t="str">
        <f>IF(B14="","",IF(AND(ISNUMBER(N14),N14&lt;=EOMONTH(LunaRef,0)),"Ieșit – "&amp;IF(O14="","motiv necompletat",LOWER(O14)),IF(Calcul!$AN14=0,"Neînceput",IF(U14&lt;0.005,"Complet amortizat","În funcțiune"))))</f>
        <v>În funcțiune</v>
      </c>
      <c r="W14" s="26" t="str">
        <f t="shared" si="2"/>
        <v>Negăsit la inventar: întocmește proces-verbal.</v>
      </c>
    </row>
    <row r="15" spans="2:23" x14ac:dyDescent="0.2">
      <c r="B15" s="17"/>
      <c r="C15" s="18"/>
      <c r="D15" s="18"/>
      <c r="E15" s="17"/>
      <c r="F15" s="18"/>
      <c r="G15" s="20"/>
      <c r="H15" s="20"/>
      <c r="I15" s="21"/>
      <c r="J15" s="17"/>
      <c r="K15" s="22"/>
      <c r="L15" s="18"/>
      <c r="M15" s="22"/>
      <c r="N15" s="20"/>
      <c r="O15" s="22"/>
      <c r="P15" s="17"/>
      <c r="Q15" s="22"/>
      <c r="R15" s="23" t="str">
        <f t="shared" si="0"/>
        <v/>
      </c>
      <c r="S15" s="24" t="str">
        <f>IF(B15="","",Calcul!$AO15-Calcul!$AP15)</f>
        <v/>
      </c>
      <c r="T15" s="24" t="str">
        <f>IF(B15="","",Calcul!$AO15)</f>
        <v/>
      </c>
      <c r="U15" s="24" t="str">
        <f t="shared" si="1"/>
        <v/>
      </c>
      <c r="V15" s="25" t="str">
        <f>IF(B15="","",IF(AND(ISNUMBER(N15),N15&lt;=EOMONTH(LunaRef,0)),"Ieșit – "&amp;IF(O15="","motiv necompletat",LOWER(O15)),IF(Calcul!$AN15=0,"Neînceput",IF(U15&lt;0.005,"Complet amortizat","În funcțiune"))))</f>
        <v/>
      </c>
      <c r="W15" s="26" t="str">
        <f t="shared" si="2"/>
        <v/>
      </c>
    </row>
    <row r="16" spans="2:23" x14ac:dyDescent="0.2">
      <c r="B16" s="17"/>
      <c r="C16" s="18"/>
      <c r="D16" s="18"/>
      <c r="E16" s="17"/>
      <c r="F16" s="18"/>
      <c r="G16" s="20"/>
      <c r="H16" s="20"/>
      <c r="I16" s="21"/>
      <c r="J16" s="17"/>
      <c r="K16" s="22"/>
      <c r="L16" s="18"/>
      <c r="M16" s="22"/>
      <c r="N16" s="20"/>
      <c r="O16" s="22"/>
      <c r="P16" s="17"/>
      <c r="Q16" s="22"/>
      <c r="R16" s="23" t="str">
        <f t="shared" si="0"/>
        <v/>
      </c>
      <c r="S16" s="24" t="str">
        <f>IF(B16="","",Calcul!$AO16-Calcul!$AP16)</f>
        <v/>
      </c>
      <c r="T16" s="24" t="str">
        <f>IF(B16="","",Calcul!$AO16)</f>
        <v/>
      </c>
      <c r="U16" s="24" t="str">
        <f t="shared" si="1"/>
        <v/>
      </c>
      <c r="V16" s="25" t="str">
        <f>IF(B16="","",IF(AND(ISNUMBER(N16),N16&lt;=EOMONTH(LunaRef,0)),"Ieșit – "&amp;IF(O16="","motiv necompletat",LOWER(O16)),IF(Calcul!$AN16=0,"Neînceput",IF(U16&lt;0.005,"Complet amortizat","În funcțiune"))))</f>
        <v/>
      </c>
      <c r="W16" s="26" t="str">
        <f t="shared" si="2"/>
        <v/>
      </c>
    </row>
    <row r="17" spans="2:23" x14ac:dyDescent="0.2">
      <c r="B17" s="17"/>
      <c r="C17" s="18"/>
      <c r="D17" s="18"/>
      <c r="E17" s="17"/>
      <c r="F17" s="18"/>
      <c r="G17" s="20"/>
      <c r="H17" s="20"/>
      <c r="I17" s="21"/>
      <c r="J17" s="17"/>
      <c r="K17" s="22"/>
      <c r="L17" s="18"/>
      <c r="M17" s="22"/>
      <c r="N17" s="20"/>
      <c r="O17" s="22"/>
      <c r="P17" s="17"/>
      <c r="Q17" s="22"/>
      <c r="R17" s="23" t="str">
        <f t="shared" si="0"/>
        <v/>
      </c>
      <c r="S17" s="24" t="str">
        <f>IF(B17="","",Calcul!$AO17-Calcul!$AP17)</f>
        <v/>
      </c>
      <c r="T17" s="24" t="str">
        <f>IF(B17="","",Calcul!$AO17)</f>
        <v/>
      </c>
      <c r="U17" s="24" t="str">
        <f t="shared" si="1"/>
        <v/>
      </c>
      <c r="V17" s="25" t="str">
        <f>IF(B17="","",IF(AND(ISNUMBER(N17),N17&lt;=EOMONTH(LunaRef,0)),"Ieșit – "&amp;IF(O17="","motiv necompletat",LOWER(O17)),IF(Calcul!$AN17=0,"Neînceput",IF(U17&lt;0.005,"Complet amortizat","În funcțiune"))))</f>
        <v/>
      </c>
      <c r="W17" s="26" t="str">
        <f t="shared" si="2"/>
        <v/>
      </c>
    </row>
    <row r="18" spans="2:23" x14ac:dyDescent="0.2">
      <c r="B18" s="17"/>
      <c r="C18" s="18"/>
      <c r="D18" s="18"/>
      <c r="E18" s="17"/>
      <c r="F18" s="18"/>
      <c r="G18" s="20"/>
      <c r="H18" s="20"/>
      <c r="I18" s="21"/>
      <c r="J18" s="17"/>
      <c r="K18" s="22"/>
      <c r="L18" s="18"/>
      <c r="M18" s="22"/>
      <c r="N18" s="20"/>
      <c r="O18" s="22"/>
      <c r="P18" s="17"/>
      <c r="Q18" s="22"/>
      <c r="R18" s="23" t="str">
        <f t="shared" si="0"/>
        <v/>
      </c>
      <c r="S18" s="24" t="str">
        <f>IF(B18="","",Calcul!$AO18-Calcul!$AP18)</f>
        <v/>
      </c>
      <c r="T18" s="24" t="str">
        <f>IF(B18="","",Calcul!$AO18)</f>
        <v/>
      </c>
      <c r="U18" s="24" t="str">
        <f t="shared" si="1"/>
        <v/>
      </c>
      <c r="V18" s="25" t="str">
        <f>IF(B18="","",IF(AND(ISNUMBER(N18),N18&lt;=EOMONTH(LunaRef,0)),"Ieșit – "&amp;IF(O18="","motiv necompletat",LOWER(O18)),IF(Calcul!$AN18=0,"Neînceput",IF(U18&lt;0.005,"Complet amortizat","În funcțiune"))))</f>
        <v/>
      </c>
      <c r="W18" s="26" t="str">
        <f t="shared" si="2"/>
        <v/>
      </c>
    </row>
    <row r="19" spans="2:23" x14ac:dyDescent="0.2">
      <c r="B19" s="17"/>
      <c r="C19" s="18"/>
      <c r="D19" s="18"/>
      <c r="E19" s="17"/>
      <c r="F19" s="18"/>
      <c r="G19" s="20"/>
      <c r="H19" s="20"/>
      <c r="I19" s="21"/>
      <c r="J19" s="17"/>
      <c r="K19" s="22"/>
      <c r="L19" s="18"/>
      <c r="M19" s="22"/>
      <c r="N19" s="20"/>
      <c r="O19" s="22"/>
      <c r="P19" s="17"/>
      <c r="Q19" s="22"/>
      <c r="R19" s="23" t="str">
        <f t="shared" si="0"/>
        <v/>
      </c>
      <c r="S19" s="24" t="str">
        <f>IF(B19="","",Calcul!$AO19-Calcul!$AP19)</f>
        <v/>
      </c>
      <c r="T19" s="24" t="str">
        <f>IF(B19="","",Calcul!$AO19)</f>
        <v/>
      </c>
      <c r="U19" s="24" t="str">
        <f t="shared" si="1"/>
        <v/>
      </c>
      <c r="V19" s="25" t="str">
        <f>IF(B19="","",IF(AND(ISNUMBER(N19),N19&lt;=EOMONTH(LunaRef,0)),"Ieșit – "&amp;IF(O19="","motiv necompletat",LOWER(O19)),IF(Calcul!$AN19=0,"Neînceput",IF(U19&lt;0.005,"Complet amortizat","În funcțiune"))))</f>
        <v/>
      </c>
      <c r="W19" s="26" t="str">
        <f t="shared" si="2"/>
        <v/>
      </c>
    </row>
    <row r="20" spans="2:23" x14ac:dyDescent="0.2">
      <c r="B20" s="17"/>
      <c r="C20" s="18"/>
      <c r="D20" s="18"/>
      <c r="E20" s="17"/>
      <c r="F20" s="18"/>
      <c r="G20" s="20"/>
      <c r="H20" s="20"/>
      <c r="I20" s="21"/>
      <c r="J20" s="17"/>
      <c r="K20" s="22"/>
      <c r="L20" s="18"/>
      <c r="M20" s="22"/>
      <c r="N20" s="20"/>
      <c r="O20" s="22"/>
      <c r="P20" s="17"/>
      <c r="Q20" s="22"/>
      <c r="R20" s="23" t="str">
        <f t="shared" si="0"/>
        <v/>
      </c>
      <c r="S20" s="24" t="str">
        <f>IF(B20="","",Calcul!$AO20-Calcul!$AP20)</f>
        <v/>
      </c>
      <c r="T20" s="24" t="str">
        <f>IF(B20="","",Calcul!$AO20)</f>
        <v/>
      </c>
      <c r="U20" s="24" t="str">
        <f t="shared" si="1"/>
        <v/>
      </c>
      <c r="V20" s="25" t="str">
        <f>IF(B20="","",IF(AND(ISNUMBER(N20),N20&lt;=EOMONTH(LunaRef,0)),"Ieșit – "&amp;IF(O20="","motiv necompletat",LOWER(O20)),IF(Calcul!$AN20=0,"Neînceput",IF(U20&lt;0.005,"Complet amortizat","În funcțiune"))))</f>
        <v/>
      </c>
      <c r="W20" s="26" t="str">
        <f t="shared" si="2"/>
        <v/>
      </c>
    </row>
    <row r="21" spans="2:23" x14ac:dyDescent="0.2">
      <c r="B21" s="17"/>
      <c r="C21" s="18"/>
      <c r="D21" s="18"/>
      <c r="E21" s="17"/>
      <c r="F21" s="18"/>
      <c r="G21" s="20"/>
      <c r="H21" s="20"/>
      <c r="I21" s="21"/>
      <c r="J21" s="17"/>
      <c r="K21" s="22"/>
      <c r="L21" s="18"/>
      <c r="M21" s="22"/>
      <c r="N21" s="20"/>
      <c r="O21" s="22"/>
      <c r="P21" s="17"/>
      <c r="Q21" s="22"/>
      <c r="R21" s="23" t="str">
        <f t="shared" si="0"/>
        <v/>
      </c>
      <c r="S21" s="24" t="str">
        <f>IF(B21="","",Calcul!$AO21-Calcul!$AP21)</f>
        <v/>
      </c>
      <c r="T21" s="24" t="str">
        <f>IF(B21="","",Calcul!$AO21)</f>
        <v/>
      </c>
      <c r="U21" s="24" t="str">
        <f t="shared" si="1"/>
        <v/>
      </c>
      <c r="V21" s="25" t="str">
        <f>IF(B21="","",IF(AND(ISNUMBER(N21),N21&lt;=EOMONTH(LunaRef,0)),"Ieșit – "&amp;IF(O21="","motiv necompletat",LOWER(O21)),IF(Calcul!$AN21=0,"Neînceput",IF(U21&lt;0.005,"Complet amortizat","În funcțiune"))))</f>
        <v/>
      </c>
      <c r="W21" s="26" t="str">
        <f t="shared" si="2"/>
        <v/>
      </c>
    </row>
    <row r="22" spans="2:23" x14ac:dyDescent="0.2">
      <c r="B22" s="17"/>
      <c r="C22" s="18"/>
      <c r="D22" s="18"/>
      <c r="E22" s="17"/>
      <c r="F22" s="18"/>
      <c r="G22" s="20"/>
      <c r="H22" s="20"/>
      <c r="I22" s="21"/>
      <c r="J22" s="17"/>
      <c r="K22" s="22"/>
      <c r="L22" s="18"/>
      <c r="M22" s="22"/>
      <c r="N22" s="20"/>
      <c r="O22" s="22"/>
      <c r="P22" s="17"/>
      <c r="Q22" s="22"/>
      <c r="R22" s="23" t="str">
        <f t="shared" si="0"/>
        <v/>
      </c>
      <c r="S22" s="24" t="str">
        <f>IF(B22="","",Calcul!$AO22-Calcul!$AP22)</f>
        <v/>
      </c>
      <c r="T22" s="24" t="str">
        <f>IF(B22="","",Calcul!$AO22)</f>
        <v/>
      </c>
      <c r="U22" s="24" t="str">
        <f t="shared" si="1"/>
        <v/>
      </c>
      <c r="V22" s="25" t="str">
        <f>IF(B22="","",IF(AND(ISNUMBER(N22),N22&lt;=EOMONTH(LunaRef,0)),"Ieșit – "&amp;IF(O22="","motiv necompletat",LOWER(O22)),IF(Calcul!$AN22=0,"Neînceput",IF(U22&lt;0.005,"Complet amortizat","În funcțiune"))))</f>
        <v/>
      </c>
      <c r="W22" s="26" t="str">
        <f t="shared" si="2"/>
        <v/>
      </c>
    </row>
    <row r="23" spans="2:23" x14ac:dyDescent="0.2">
      <c r="B23" s="17"/>
      <c r="C23" s="18"/>
      <c r="D23" s="18"/>
      <c r="E23" s="17"/>
      <c r="F23" s="18"/>
      <c r="G23" s="20"/>
      <c r="H23" s="20"/>
      <c r="I23" s="21"/>
      <c r="J23" s="17"/>
      <c r="K23" s="22"/>
      <c r="L23" s="18"/>
      <c r="M23" s="22"/>
      <c r="N23" s="20"/>
      <c r="O23" s="22"/>
      <c r="P23" s="17"/>
      <c r="Q23" s="22"/>
      <c r="R23" s="23" t="str">
        <f t="shared" si="0"/>
        <v/>
      </c>
      <c r="S23" s="24" t="str">
        <f>IF(B23="","",Calcul!$AO23-Calcul!$AP23)</f>
        <v/>
      </c>
      <c r="T23" s="24" t="str">
        <f>IF(B23="","",Calcul!$AO23)</f>
        <v/>
      </c>
      <c r="U23" s="24" t="str">
        <f t="shared" si="1"/>
        <v/>
      </c>
      <c r="V23" s="25" t="str">
        <f>IF(B23="","",IF(AND(ISNUMBER(N23),N23&lt;=EOMONTH(LunaRef,0)),"Ieșit – "&amp;IF(O23="","motiv necompletat",LOWER(O23)),IF(Calcul!$AN23=0,"Neînceput",IF(U23&lt;0.005,"Complet amortizat","În funcțiune"))))</f>
        <v/>
      </c>
      <c r="W23" s="26" t="str">
        <f t="shared" si="2"/>
        <v/>
      </c>
    </row>
    <row r="24" spans="2:23" x14ac:dyDescent="0.2">
      <c r="B24" s="17"/>
      <c r="C24" s="18"/>
      <c r="D24" s="18"/>
      <c r="E24" s="17"/>
      <c r="F24" s="18"/>
      <c r="G24" s="20"/>
      <c r="H24" s="20"/>
      <c r="I24" s="21"/>
      <c r="J24" s="17"/>
      <c r="K24" s="22"/>
      <c r="L24" s="18"/>
      <c r="M24" s="22"/>
      <c r="N24" s="20"/>
      <c r="O24" s="22"/>
      <c r="P24" s="17"/>
      <c r="Q24" s="22"/>
      <c r="R24" s="23" t="str">
        <f t="shared" si="0"/>
        <v/>
      </c>
      <c r="S24" s="24" t="str">
        <f>IF(B24="","",Calcul!$AO24-Calcul!$AP24)</f>
        <v/>
      </c>
      <c r="T24" s="24" t="str">
        <f>IF(B24="","",Calcul!$AO24)</f>
        <v/>
      </c>
      <c r="U24" s="24" t="str">
        <f t="shared" si="1"/>
        <v/>
      </c>
      <c r="V24" s="25" t="str">
        <f>IF(B24="","",IF(AND(ISNUMBER(N24),N24&lt;=EOMONTH(LunaRef,0)),"Ieșit – "&amp;IF(O24="","motiv necompletat",LOWER(O24)),IF(Calcul!$AN24=0,"Neînceput",IF(U24&lt;0.005,"Complet amortizat","În funcțiune"))))</f>
        <v/>
      </c>
      <c r="W24" s="26" t="str">
        <f t="shared" si="2"/>
        <v/>
      </c>
    </row>
    <row r="25" spans="2:23" x14ac:dyDescent="0.2">
      <c r="B25" s="17"/>
      <c r="C25" s="18"/>
      <c r="D25" s="18"/>
      <c r="E25" s="17"/>
      <c r="F25" s="18"/>
      <c r="G25" s="20"/>
      <c r="H25" s="20"/>
      <c r="I25" s="21"/>
      <c r="J25" s="17"/>
      <c r="K25" s="22"/>
      <c r="L25" s="18"/>
      <c r="M25" s="22"/>
      <c r="N25" s="20"/>
      <c r="O25" s="22"/>
      <c r="P25" s="17"/>
      <c r="Q25" s="22"/>
      <c r="R25" s="23" t="str">
        <f t="shared" si="0"/>
        <v/>
      </c>
      <c r="S25" s="24" t="str">
        <f>IF(B25="","",Calcul!$AO25-Calcul!$AP25)</f>
        <v/>
      </c>
      <c r="T25" s="24" t="str">
        <f>IF(B25="","",Calcul!$AO25)</f>
        <v/>
      </c>
      <c r="U25" s="24" t="str">
        <f t="shared" si="1"/>
        <v/>
      </c>
      <c r="V25" s="25" t="str">
        <f>IF(B25="","",IF(AND(ISNUMBER(N25),N25&lt;=EOMONTH(LunaRef,0)),"Ieșit – "&amp;IF(O25="","motiv necompletat",LOWER(O25)),IF(Calcul!$AN25=0,"Neînceput",IF(U25&lt;0.005,"Complet amortizat","În funcțiune"))))</f>
        <v/>
      </c>
      <c r="W25" s="26" t="str">
        <f t="shared" si="2"/>
        <v/>
      </c>
    </row>
    <row r="26" spans="2:23" x14ac:dyDescent="0.2">
      <c r="B26" s="17"/>
      <c r="C26" s="18"/>
      <c r="D26" s="18"/>
      <c r="E26" s="17"/>
      <c r="F26" s="18"/>
      <c r="G26" s="20"/>
      <c r="H26" s="20"/>
      <c r="I26" s="21"/>
      <c r="J26" s="17"/>
      <c r="K26" s="22"/>
      <c r="L26" s="18"/>
      <c r="M26" s="22"/>
      <c r="N26" s="20"/>
      <c r="O26" s="22"/>
      <c r="P26" s="17"/>
      <c r="Q26" s="22"/>
      <c r="R26" s="23" t="str">
        <f t="shared" si="0"/>
        <v/>
      </c>
      <c r="S26" s="24" t="str">
        <f>IF(B26="","",Calcul!$AO26-Calcul!$AP26)</f>
        <v/>
      </c>
      <c r="T26" s="24" t="str">
        <f>IF(B26="","",Calcul!$AO26)</f>
        <v/>
      </c>
      <c r="U26" s="24" t="str">
        <f t="shared" si="1"/>
        <v/>
      </c>
      <c r="V26" s="25" t="str">
        <f>IF(B26="","",IF(AND(ISNUMBER(N26),N26&lt;=EOMONTH(LunaRef,0)),"Ieșit – "&amp;IF(O26="","motiv necompletat",LOWER(O26)),IF(Calcul!$AN26=0,"Neînceput",IF(U26&lt;0.005,"Complet amortizat","În funcțiune"))))</f>
        <v/>
      </c>
      <c r="W26" s="26" t="str">
        <f t="shared" si="2"/>
        <v/>
      </c>
    </row>
    <row r="27" spans="2:23" x14ac:dyDescent="0.2">
      <c r="B27" s="17"/>
      <c r="C27" s="18"/>
      <c r="D27" s="18"/>
      <c r="E27" s="17"/>
      <c r="F27" s="18"/>
      <c r="G27" s="20"/>
      <c r="H27" s="20"/>
      <c r="I27" s="21"/>
      <c r="J27" s="17"/>
      <c r="K27" s="22"/>
      <c r="L27" s="18"/>
      <c r="M27" s="22"/>
      <c r="N27" s="20"/>
      <c r="O27" s="22"/>
      <c r="P27" s="17"/>
      <c r="Q27" s="22"/>
      <c r="R27" s="23" t="str">
        <f t="shared" si="0"/>
        <v/>
      </c>
      <c r="S27" s="24" t="str">
        <f>IF(B27="","",Calcul!$AO27-Calcul!$AP27)</f>
        <v/>
      </c>
      <c r="T27" s="24" t="str">
        <f>IF(B27="","",Calcul!$AO27)</f>
        <v/>
      </c>
      <c r="U27" s="24" t="str">
        <f t="shared" si="1"/>
        <v/>
      </c>
      <c r="V27" s="25" t="str">
        <f>IF(B27="","",IF(AND(ISNUMBER(N27),N27&lt;=EOMONTH(LunaRef,0)),"Ieșit – "&amp;IF(O27="","motiv necompletat",LOWER(O27)),IF(Calcul!$AN27=0,"Neînceput",IF(U27&lt;0.005,"Complet amortizat","În funcțiune"))))</f>
        <v/>
      </c>
      <c r="W27" s="26" t="str">
        <f t="shared" si="2"/>
        <v/>
      </c>
    </row>
    <row r="28" spans="2:23" x14ac:dyDescent="0.2">
      <c r="B28" s="17"/>
      <c r="C28" s="18"/>
      <c r="D28" s="18"/>
      <c r="E28" s="17"/>
      <c r="F28" s="18"/>
      <c r="G28" s="20"/>
      <c r="H28" s="20"/>
      <c r="I28" s="21"/>
      <c r="J28" s="17"/>
      <c r="K28" s="22"/>
      <c r="L28" s="18"/>
      <c r="M28" s="22"/>
      <c r="N28" s="20"/>
      <c r="O28" s="22"/>
      <c r="P28" s="17"/>
      <c r="Q28" s="22"/>
      <c r="R28" s="23" t="str">
        <f t="shared" si="0"/>
        <v/>
      </c>
      <c r="S28" s="24" t="str">
        <f>IF(B28="","",Calcul!$AO28-Calcul!$AP28)</f>
        <v/>
      </c>
      <c r="T28" s="24" t="str">
        <f>IF(B28="","",Calcul!$AO28)</f>
        <v/>
      </c>
      <c r="U28" s="24" t="str">
        <f t="shared" si="1"/>
        <v/>
      </c>
      <c r="V28" s="25" t="str">
        <f>IF(B28="","",IF(AND(ISNUMBER(N28),N28&lt;=EOMONTH(LunaRef,0)),"Ieșit – "&amp;IF(O28="","motiv necompletat",LOWER(O28)),IF(Calcul!$AN28=0,"Neînceput",IF(U28&lt;0.005,"Complet amortizat","În funcțiune"))))</f>
        <v/>
      </c>
      <c r="W28" s="26" t="str">
        <f t="shared" si="2"/>
        <v/>
      </c>
    </row>
    <row r="29" spans="2:23" x14ac:dyDescent="0.2">
      <c r="B29" s="17"/>
      <c r="C29" s="18"/>
      <c r="D29" s="18"/>
      <c r="E29" s="17"/>
      <c r="F29" s="18"/>
      <c r="G29" s="20"/>
      <c r="H29" s="20"/>
      <c r="I29" s="21"/>
      <c r="J29" s="17"/>
      <c r="K29" s="22"/>
      <c r="L29" s="18"/>
      <c r="M29" s="22"/>
      <c r="N29" s="20"/>
      <c r="O29" s="22"/>
      <c r="P29" s="17"/>
      <c r="Q29" s="22"/>
      <c r="R29" s="23" t="str">
        <f t="shared" si="0"/>
        <v/>
      </c>
      <c r="S29" s="24" t="str">
        <f>IF(B29="","",Calcul!$AO29-Calcul!$AP29)</f>
        <v/>
      </c>
      <c r="T29" s="24" t="str">
        <f>IF(B29="","",Calcul!$AO29)</f>
        <v/>
      </c>
      <c r="U29" s="24" t="str">
        <f t="shared" si="1"/>
        <v/>
      </c>
      <c r="V29" s="25" t="str">
        <f>IF(B29="","",IF(AND(ISNUMBER(N29),N29&lt;=EOMONTH(LunaRef,0)),"Ieșit – "&amp;IF(O29="","motiv necompletat",LOWER(O29)),IF(Calcul!$AN29=0,"Neînceput",IF(U29&lt;0.005,"Complet amortizat","În funcțiune"))))</f>
        <v/>
      </c>
      <c r="W29" s="26" t="str">
        <f t="shared" si="2"/>
        <v/>
      </c>
    </row>
    <row r="30" spans="2:23" x14ac:dyDescent="0.2">
      <c r="B30" s="17"/>
      <c r="C30" s="18"/>
      <c r="D30" s="18"/>
      <c r="E30" s="17"/>
      <c r="F30" s="18"/>
      <c r="G30" s="20"/>
      <c r="H30" s="20"/>
      <c r="I30" s="21"/>
      <c r="J30" s="17"/>
      <c r="K30" s="22"/>
      <c r="L30" s="18"/>
      <c r="M30" s="22"/>
      <c r="N30" s="20"/>
      <c r="O30" s="22"/>
      <c r="P30" s="17"/>
      <c r="Q30" s="22"/>
      <c r="R30" s="23" t="str">
        <f t="shared" si="0"/>
        <v/>
      </c>
      <c r="S30" s="24" t="str">
        <f>IF(B30="","",Calcul!$AO30-Calcul!$AP30)</f>
        <v/>
      </c>
      <c r="T30" s="24" t="str">
        <f>IF(B30="","",Calcul!$AO30)</f>
        <v/>
      </c>
      <c r="U30" s="24" t="str">
        <f t="shared" si="1"/>
        <v/>
      </c>
      <c r="V30" s="25" t="str">
        <f>IF(B30="","",IF(AND(ISNUMBER(N30),N30&lt;=EOMONTH(LunaRef,0)),"Ieșit – "&amp;IF(O30="","motiv necompletat",LOWER(O30)),IF(Calcul!$AN30=0,"Neînceput",IF(U30&lt;0.005,"Complet amortizat","În funcțiune"))))</f>
        <v/>
      </c>
      <c r="W30" s="26" t="str">
        <f t="shared" si="2"/>
        <v/>
      </c>
    </row>
    <row r="31" spans="2:23" x14ac:dyDescent="0.2">
      <c r="B31" s="17"/>
      <c r="C31" s="18"/>
      <c r="D31" s="18"/>
      <c r="E31" s="17"/>
      <c r="F31" s="18"/>
      <c r="G31" s="20"/>
      <c r="H31" s="20"/>
      <c r="I31" s="21"/>
      <c r="J31" s="17"/>
      <c r="K31" s="22"/>
      <c r="L31" s="18"/>
      <c r="M31" s="22"/>
      <c r="N31" s="20"/>
      <c r="O31" s="22"/>
      <c r="P31" s="17"/>
      <c r="Q31" s="22"/>
      <c r="R31" s="23" t="str">
        <f t="shared" si="0"/>
        <v/>
      </c>
      <c r="S31" s="24" t="str">
        <f>IF(B31="","",Calcul!$AO31-Calcul!$AP31)</f>
        <v/>
      </c>
      <c r="T31" s="24" t="str">
        <f>IF(B31="","",Calcul!$AO31)</f>
        <v/>
      </c>
      <c r="U31" s="24" t="str">
        <f t="shared" si="1"/>
        <v/>
      </c>
      <c r="V31" s="25" t="str">
        <f>IF(B31="","",IF(AND(ISNUMBER(N31),N31&lt;=EOMONTH(LunaRef,0)),"Ieșit – "&amp;IF(O31="","motiv necompletat",LOWER(O31)),IF(Calcul!$AN31=0,"Neînceput",IF(U31&lt;0.005,"Complet amortizat","În funcțiune"))))</f>
        <v/>
      </c>
      <c r="W31" s="26" t="str">
        <f t="shared" si="2"/>
        <v/>
      </c>
    </row>
    <row r="32" spans="2:23" x14ac:dyDescent="0.2">
      <c r="B32" s="17"/>
      <c r="C32" s="18"/>
      <c r="D32" s="18"/>
      <c r="E32" s="17"/>
      <c r="F32" s="18"/>
      <c r="G32" s="20"/>
      <c r="H32" s="20"/>
      <c r="I32" s="21"/>
      <c r="J32" s="17"/>
      <c r="K32" s="22"/>
      <c r="L32" s="18"/>
      <c r="M32" s="22"/>
      <c r="N32" s="20"/>
      <c r="O32" s="22"/>
      <c r="P32" s="17"/>
      <c r="Q32" s="22"/>
      <c r="R32" s="23" t="str">
        <f t="shared" si="0"/>
        <v/>
      </c>
      <c r="S32" s="24" t="str">
        <f>IF(B32="","",Calcul!$AO32-Calcul!$AP32)</f>
        <v/>
      </c>
      <c r="T32" s="24" t="str">
        <f>IF(B32="","",Calcul!$AO32)</f>
        <v/>
      </c>
      <c r="U32" s="24" t="str">
        <f t="shared" si="1"/>
        <v/>
      </c>
      <c r="V32" s="25" t="str">
        <f>IF(B32="","",IF(AND(ISNUMBER(N32),N32&lt;=EOMONTH(LunaRef,0)),"Ieșit – "&amp;IF(O32="","motiv necompletat",LOWER(O32)),IF(Calcul!$AN32=0,"Neînceput",IF(U32&lt;0.005,"Complet amortizat","În funcțiune"))))</f>
        <v/>
      </c>
      <c r="W32" s="26" t="str">
        <f t="shared" si="2"/>
        <v/>
      </c>
    </row>
    <row r="33" spans="2:23" x14ac:dyDescent="0.2">
      <c r="B33" s="17"/>
      <c r="C33" s="18"/>
      <c r="D33" s="18"/>
      <c r="E33" s="17"/>
      <c r="F33" s="18"/>
      <c r="G33" s="20"/>
      <c r="H33" s="20"/>
      <c r="I33" s="21"/>
      <c r="J33" s="17"/>
      <c r="K33" s="22"/>
      <c r="L33" s="18"/>
      <c r="M33" s="22"/>
      <c r="N33" s="20"/>
      <c r="O33" s="22"/>
      <c r="P33" s="17"/>
      <c r="Q33" s="22"/>
      <c r="R33" s="23" t="str">
        <f t="shared" si="0"/>
        <v/>
      </c>
      <c r="S33" s="24" t="str">
        <f>IF(B33="","",Calcul!$AO33-Calcul!$AP33)</f>
        <v/>
      </c>
      <c r="T33" s="24" t="str">
        <f>IF(B33="","",Calcul!$AO33)</f>
        <v/>
      </c>
      <c r="U33" s="24" t="str">
        <f t="shared" si="1"/>
        <v/>
      </c>
      <c r="V33" s="25" t="str">
        <f>IF(B33="","",IF(AND(ISNUMBER(N33),N33&lt;=EOMONTH(LunaRef,0)),"Ieșit – "&amp;IF(O33="","motiv necompletat",LOWER(O33)),IF(Calcul!$AN33=0,"Neînceput",IF(U33&lt;0.005,"Complet amortizat","În funcțiune"))))</f>
        <v/>
      </c>
      <c r="W33" s="26" t="str">
        <f t="shared" si="2"/>
        <v/>
      </c>
    </row>
    <row r="34" spans="2:23" x14ac:dyDescent="0.2">
      <c r="B34" s="17"/>
      <c r="C34" s="18"/>
      <c r="D34" s="18"/>
      <c r="E34" s="17"/>
      <c r="F34" s="18"/>
      <c r="G34" s="20"/>
      <c r="H34" s="20"/>
      <c r="I34" s="21"/>
      <c r="J34" s="17"/>
      <c r="K34" s="22"/>
      <c r="L34" s="18"/>
      <c r="M34" s="22"/>
      <c r="N34" s="20"/>
      <c r="O34" s="22"/>
      <c r="P34" s="17"/>
      <c r="Q34" s="22"/>
      <c r="R34" s="23" t="str">
        <f t="shared" si="0"/>
        <v/>
      </c>
      <c r="S34" s="24" t="str">
        <f>IF(B34="","",Calcul!$AO34-Calcul!$AP34)</f>
        <v/>
      </c>
      <c r="T34" s="24" t="str">
        <f>IF(B34="","",Calcul!$AO34)</f>
        <v/>
      </c>
      <c r="U34" s="24" t="str">
        <f t="shared" si="1"/>
        <v/>
      </c>
      <c r="V34" s="25" t="str">
        <f>IF(B34="","",IF(AND(ISNUMBER(N34),N34&lt;=EOMONTH(LunaRef,0)),"Ieșit – "&amp;IF(O34="","motiv necompletat",LOWER(O34)),IF(Calcul!$AN34=0,"Neînceput",IF(U34&lt;0.005,"Complet amortizat","În funcțiune"))))</f>
        <v/>
      </c>
      <c r="W34" s="26" t="str">
        <f t="shared" si="2"/>
        <v/>
      </c>
    </row>
    <row r="35" spans="2:23" x14ac:dyDescent="0.2">
      <c r="B35" s="17"/>
      <c r="C35" s="18"/>
      <c r="D35" s="18"/>
      <c r="E35" s="17"/>
      <c r="F35" s="18"/>
      <c r="G35" s="20"/>
      <c r="H35" s="20"/>
      <c r="I35" s="21"/>
      <c r="J35" s="17"/>
      <c r="K35" s="22"/>
      <c r="L35" s="18"/>
      <c r="M35" s="22"/>
      <c r="N35" s="20"/>
      <c r="O35" s="22"/>
      <c r="P35" s="17"/>
      <c r="Q35" s="22"/>
      <c r="R35" s="23" t="str">
        <f t="shared" si="0"/>
        <v/>
      </c>
      <c r="S35" s="24" t="str">
        <f>IF(B35="","",Calcul!$AO35-Calcul!$AP35)</f>
        <v/>
      </c>
      <c r="T35" s="24" t="str">
        <f>IF(B35="","",Calcul!$AO35)</f>
        <v/>
      </c>
      <c r="U35" s="24" t="str">
        <f t="shared" si="1"/>
        <v/>
      </c>
      <c r="V35" s="25" t="str">
        <f>IF(B35="","",IF(AND(ISNUMBER(N35),N35&lt;=EOMONTH(LunaRef,0)),"Ieșit – "&amp;IF(O35="","motiv necompletat",LOWER(O35)),IF(Calcul!$AN35=0,"Neînceput",IF(U35&lt;0.005,"Complet amortizat","În funcțiune"))))</f>
        <v/>
      </c>
      <c r="W35" s="26" t="str">
        <f t="shared" si="2"/>
        <v/>
      </c>
    </row>
    <row r="36" spans="2:23" x14ac:dyDescent="0.2">
      <c r="B36" s="17"/>
      <c r="C36" s="18"/>
      <c r="D36" s="18"/>
      <c r="E36" s="17"/>
      <c r="F36" s="18"/>
      <c r="G36" s="20"/>
      <c r="H36" s="20"/>
      <c r="I36" s="21"/>
      <c r="J36" s="17"/>
      <c r="K36" s="22"/>
      <c r="L36" s="18"/>
      <c r="M36" s="22"/>
      <c r="N36" s="20"/>
      <c r="O36" s="22"/>
      <c r="P36" s="17"/>
      <c r="Q36" s="22"/>
      <c r="R36" s="23" t="str">
        <f t="shared" si="0"/>
        <v/>
      </c>
      <c r="S36" s="24" t="str">
        <f>IF(B36="","",Calcul!$AO36-Calcul!$AP36)</f>
        <v/>
      </c>
      <c r="T36" s="24" t="str">
        <f>IF(B36="","",Calcul!$AO36)</f>
        <v/>
      </c>
      <c r="U36" s="24" t="str">
        <f t="shared" si="1"/>
        <v/>
      </c>
      <c r="V36" s="25" t="str">
        <f>IF(B36="","",IF(AND(ISNUMBER(N36),N36&lt;=EOMONTH(LunaRef,0)),"Ieșit – "&amp;IF(O36="","motiv necompletat",LOWER(O36)),IF(Calcul!$AN36=0,"Neînceput",IF(U36&lt;0.005,"Complet amortizat","În funcțiune"))))</f>
        <v/>
      </c>
      <c r="W36" s="26" t="str">
        <f t="shared" si="2"/>
        <v/>
      </c>
    </row>
    <row r="37" spans="2:23" x14ac:dyDescent="0.2">
      <c r="B37" s="17"/>
      <c r="C37" s="18"/>
      <c r="D37" s="18"/>
      <c r="E37" s="17"/>
      <c r="F37" s="18"/>
      <c r="G37" s="20"/>
      <c r="H37" s="20"/>
      <c r="I37" s="21"/>
      <c r="J37" s="17"/>
      <c r="K37" s="22"/>
      <c r="L37" s="18"/>
      <c r="M37" s="22"/>
      <c r="N37" s="20"/>
      <c r="O37" s="22"/>
      <c r="P37" s="17"/>
      <c r="Q37" s="22"/>
      <c r="R37" s="23" t="str">
        <f t="shared" ref="R37:R68" si="3">IF(ISNUMBER(H37),EOMONTH(H37,0)+1,"")</f>
        <v/>
      </c>
      <c r="S37" s="24" t="str">
        <f>IF(B37="","",Calcul!$AO37-Calcul!$AP37)</f>
        <v/>
      </c>
      <c r="T37" s="24" t="str">
        <f>IF(B37="","",Calcul!$AO37)</f>
        <v/>
      </c>
      <c r="U37" s="24" t="str">
        <f t="shared" ref="U37:U68" si="4">IF(B37="","",N(I37)-T37)</f>
        <v/>
      </c>
      <c r="V37" s="25" t="str">
        <f>IF(B37="","",IF(AND(ISNUMBER(N37),N37&lt;=EOMONTH(LunaRef,0)),"Ieșit – "&amp;IF(O37="","motiv necompletat",LOWER(O37)),IF(Calcul!$AN37=0,"Neînceput",IF(U37&lt;0.005,"Complet amortizat","În funcțiune"))))</f>
        <v/>
      </c>
      <c r="W37" s="26" t="str">
        <f t="shared" ref="W37:W68" si="5">IF(B37="","",TRIM(IF(COUNTIF($B$5:$B$104,B37)&gt;1,"Nr. de inventar dublat. ","")&amp;IF(OR(C37="",D37="",NOT(ISNUMBER(H37)),N(I37)&lt;=0,N(J37)&lt;=0,K37=""),"Date incomplete. ","")&amp;IF(AND(N(I37)&gt;0,I37&lt;PlafonMF),"Sub "&amp;TEXT(PlafonMF,"#.##0")&amp;" lei: poate fi obiect de inventar. ","")&amp;IF(AND(D37&lt;&gt;"",K37&lt;&gt;""),IF(IFERROR(IF(K37="Liniară",TRUE,IF(K37="Degresivă",VLOOKUP(D37,TabelGrupe,4,FALSE)="Da",IF(K37="Accelerată",VLOOKUP(D37,TabelGrupe,5,FALSE)="Da",IF(K37="Superaccelerată (2026)",AND(VLOOKUP(D37,TabelGrupe,6,FALSE)="Da",YEAR(H37)=2026),FALSE)))),FALSE),"","Metoda nu este permisă pentru această grupă. "),"")&amp;IF(AND(K37&lt;&gt;"Liniară",N(J37)&gt;30),"Peste 30 de ani: folosește metoda liniară. ","")&amp;IF(AND(ISNUMBER(G37),ISNUMBER(H37),H37&lt;G37),"Pus în funcțiune înainte de intrare. ","")&amp;IF(AND(V37="Complet amortizat",P37&lt;&gt;"Nu"),"Complet amortizat: verifică dacă mai este folosit. ","")&amp;IF(AND(ISNUMBER(N37),O37=""),"Lipsește motivul ieșirii. ","")&amp;IF(AND(P37="Nu",NOT(ISNUMBER(N37))),"Negăsit la inventar: întocmește proces-verbal. ","")&amp;IF(AND(Q37="Neutilizată",NOT(ISNUMBER(N37))),"Neutilizat: analizează casarea sau vânzarea. ","")))</f>
        <v/>
      </c>
    </row>
    <row r="38" spans="2:23" x14ac:dyDescent="0.2">
      <c r="B38" s="17"/>
      <c r="C38" s="18"/>
      <c r="D38" s="18"/>
      <c r="E38" s="17"/>
      <c r="F38" s="18"/>
      <c r="G38" s="20"/>
      <c r="H38" s="20"/>
      <c r="I38" s="21"/>
      <c r="J38" s="17"/>
      <c r="K38" s="22"/>
      <c r="L38" s="18"/>
      <c r="M38" s="22"/>
      <c r="N38" s="20"/>
      <c r="O38" s="22"/>
      <c r="P38" s="17"/>
      <c r="Q38" s="22"/>
      <c r="R38" s="23" t="str">
        <f t="shared" si="3"/>
        <v/>
      </c>
      <c r="S38" s="24" t="str">
        <f>IF(B38="","",Calcul!$AO38-Calcul!$AP38)</f>
        <v/>
      </c>
      <c r="T38" s="24" t="str">
        <f>IF(B38="","",Calcul!$AO38)</f>
        <v/>
      </c>
      <c r="U38" s="24" t="str">
        <f t="shared" si="4"/>
        <v/>
      </c>
      <c r="V38" s="25" t="str">
        <f>IF(B38="","",IF(AND(ISNUMBER(N38),N38&lt;=EOMONTH(LunaRef,0)),"Ieșit – "&amp;IF(O38="","motiv necompletat",LOWER(O38)),IF(Calcul!$AN38=0,"Neînceput",IF(U38&lt;0.005,"Complet amortizat","În funcțiune"))))</f>
        <v/>
      </c>
      <c r="W38" s="26" t="str">
        <f t="shared" si="5"/>
        <v/>
      </c>
    </row>
    <row r="39" spans="2:23" x14ac:dyDescent="0.2">
      <c r="B39" s="17"/>
      <c r="C39" s="18"/>
      <c r="D39" s="18"/>
      <c r="E39" s="17"/>
      <c r="F39" s="18"/>
      <c r="G39" s="20"/>
      <c r="H39" s="20"/>
      <c r="I39" s="21"/>
      <c r="J39" s="17"/>
      <c r="K39" s="22"/>
      <c r="L39" s="18"/>
      <c r="M39" s="22"/>
      <c r="N39" s="20"/>
      <c r="O39" s="22"/>
      <c r="P39" s="17"/>
      <c r="Q39" s="22"/>
      <c r="R39" s="23" t="str">
        <f t="shared" si="3"/>
        <v/>
      </c>
      <c r="S39" s="24" t="str">
        <f>IF(B39="","",Calcul!$AO39-Calcul!$AP39)</f>
        <v/>
      </c>
      <c r="T39" s="24" t="str">
        <f>IF(B39="","",Calcul!$AO39)</f>
        <v/>
      </c>
      <c r="U39" s="24" t="str">
        <f t="shared" si="4"/>
        <v/>
      </c>
      <c r="V39" s="25" t="str">
        <f>IF(B39="","",IF(AND(ISNUMBER(N39),N39&lt;=EOMONTH(LunaRef,0)),"Ieșit – "&amp;IF(O39="","motiv necompletat",LOWER(O39)),IF(Calcul!$AN39=0,"Neînceput",IF(U39&lt;0.005,"Complet amortizat","În funcțiune"))))</f>
        <v/>
      </c>
      <c r="W39" s="26" t="str">
        <f t="shared" si="5"/>
        <v/>
      </c>
    </row>
    <row r="40" spans="2:23" x14ac:dyDescent="0.2">
      <c r="B40" s="17"/>
      <c r="C40" s="18"/>
      <c r="D40" s="18"/>
      <c r="E40" s="17"/>
      <c r="F40" s="18"/>
      <c r="G40" s="20"/>
      <c r="H40" s="20"/>
      <c r="I40" s="21"/>
      <c r="J40" s="17"/>
      <c r="K40" s="22"/>
      <c r="L40" s="18"/>
      <c r="M40" s="22"/>
      <c r="N40" s="20"/>
      <c r="O40" s="22"/>
      <c r="P40" s="17"/>
      <c r="Q40" s="22"/>
      <c r="R40" s="23" t="str">
        <f t="shared" si="3"/>
        <v/>
      </c>
      <c r="S40" s="24" t="str">
        <f>IF(B40="","",Calcul!$AO40-Calcul!$AP40)</f>
        <v/>
      </c>
      <c r="T40" s="24" t="str">
        <f>IF(B40="","",Calcul!$AO40)</f>
        <v/>
      </c>
      <c r="U40" s="24" t="str">
        <f t="shared" si="4"/>
        <v/>
      </c>
      <c r="V40" s="25" t="str">
        <f>IF(B40="","",IF(AND(ISNUMBER(N40),N40&lt;=EOMONTH(LunaRef,0)),"Ieșit – "&amp;IF(O40="","motiv necompletat",LOWER(O40)),IF(Calcul!$AN40=0,"Neînceput",IF(U40&lt;0.005,"Complet amortizat","În funcțiune"))))</f>
        <v/>
      </c>
      <c r="W40" s="26" t="str">
        <f t="shared" si="5"/>
        <v/>
      </c>
    </row>
    <row r="41" spans="2:23" x14ac:dyDescent="0.2">
      <c r="B41" s="17"/>
      <c r="C41" s="18"/>
      <c r="D41" s="18"/>
      <c r="E41" s="17"/>
      <c r="F41" s="18"/>
      <c r="G41" s="20"/>
      <c r="H41" s="20"/>
      <c r="I41" s="21"/>
      <c r="J41" s="17"/>
      <c r="K41" s="22"/>
      <c r="L41" s="18"/>
      <c r="M41" s="22"/>
      <c r="N41" s="20"/>
      <c r="O41" s="22"/>
      <c r="P41" s="17"/>
      <c r="Q41" s="22"/>
      <c r="R41" s="23" t="str">
        <f t="shared" si="3"/>
        <v/>
      </c>
      <c r="S41" s="24" t="str">
        <f>IF(B41="","",Calcul!$AO41-Calcul!$AP41)</f>
        <v/>
      </c>
      <c r="T41" s="24" t="str">
        <f>IF(B41="","",Calcul!$AO41)</f>
        <v/>
      </c>
      <c r="U41" s="24" t="str">
        <f t="shared" si="4"/>
        <v/>
      </c>
      <c r="V41" s="25" t="str">
        <f>IF(B41="","",IF(AND(ISNUMBER(N41),N41&lt;=EOMONTH(LunaRef,0)),"Ieșit – "&amp;IF(O41="","motiv necompletat",LOWER(O41)),IF(Calcul!$AN41=0,"Neînceput",IF(U41&lt;0.005,"Complet amortizat","În funcțiune"))))</f>
        <v/>
      </c>
      <c r="W41" s="26" t="str">
        <f t="shared" si="5"/>
        <v/>
      </c>
    </row>
    <row r="42" spans="2:23" x14ac:dyDescent="0.2">
      <c r="B42" s="17"/>
      <c r="C42" s="18"/>
      <c r="D42" s="18"/>
      <c r="E42" s="17"/>
      <c r="F42" s="18"/>
      <c r="G42" s="20"/>
      <c r="H42" s="20"/>
      <c r="I42" s="21"/>
      <c r="J42" s="17"/>
      <c r="K42" s="22"/>
      <c r="L42" s="18"/>
      <c r="M42" s="22"/>
      <c r="N42" s="20"/>
      <c r="O42" s="22"/>
      <c r="P42" s="17"/>
      <c r="Q42" s="22"/>
      <c r="R42" s="23" t="str">
        <f t="shared" si="3"/>
        <v/>
      </c>
      <c r="S42" s="24" t="str">
        <f>IF(B42="","",Calcul!$AO42-Calcul!$AP42)</f>
        <v/>
      </c>
      <c r="T42" s="24" t="str">
        <f>IF(B42="","",Calcul!$AO42)</f>
        <v/>
      </c>
      <c r="U42" s="24" t="str">
        <f t="shared" si="4"/>
        <v/>
      </c>
      <c r="V42" s="25" t="str">
        <f>IF(B42="","",IF(AND(ISNUMBER(N42),N42&lt;=EOMONTH(LunaRef,0)),"Ieșit – "&amp;IF(O42="","motiv necompletat",LOWER(O42)),IF(Calcul!$AN42=0,"Neînceput",IF(U42&lt;0.005,"Complet amortizat","În funcțiune"))))</f>
        <v/>
      </c>
      <c r="W42" s="26" t="str">
        <f t="shared" si="5"/>
        <v/>
      </c>
    </row>
    <row r="43" spans="2:23" x14ac:dyDescent="0.2">
      <c r="B43" s="17"/>
      <c r="C43" s="18"/>
      <c r="D43" s="18"/>
      <c r="E43" s="17"/>
      <c r="F43" s="18"/>
      <c r="G43" s="20"/>
      <c r="H43" s="20"/>
      <c r="I43" s="21"/>
      <c r="J43" s="17"/>
      <c r="K43" s="22"/>
      <c r="L43" s="18"/>
      <c r="M43" s="22"/>
      <c r="N43" s="20"/>
      <c r="O43" s="22"/>
      <c r="P43" s="17"/>
      <c r="Q43" s="22"/>
      <c r="R43" s="23" t="str">
        <f t="shared" si="3"/>
        <v/>
      </c>
      <c r="S43" s="24" t="str">
        <f>IF(B43="","",Calcul!$AO43-Calcul!$AP43)</f>
        <v/>
      </c>
      <c r="T43" s="24" t="str">
        <f>IF(B43="","",Calcul!$AO43)</f>
        <v/>
      </c>
      <c r="U43" s="24" t="str">
        <f t="shared" si="4"/>
        <v/>
      </c>
      <c r="V43" s="25" t="str">
        <f>IF(B43="","",IF(AND(ISNUMBER(N43),N43&lt;=EOMONTH(LunaRef,0)),"Ieșit – "&amp;IF(O43="","motiv necompletat",LOWER(O43)),IF(Calcul!$AN43=0,"Neînceput",IF(U43&lt;0.005,"Complet amortizat","În funcțiune"))))</f>
        <v/>
      </c>
      <c r="W43" s="26" t="str">
        <f t="shared" si="5"/>
        <v/>
      </c>
    </row>
    <row r="44" spans="2:23" x14ac:dyDescent="0.2">
      <c r="B44" s="17"/>
      <c r="C44" s="18"/>
      <c r="D44" s="18"/>
      <c r="E44" s="17"/>
      <c r="F44" s="18"/>
      <c r="G44" s="20"/>
      <c r="H44" s="20"/>
      <c r="I44" s="21"/>
      <c r="J44" s="17"/>
      <c r="K44" s="22"/>
      <c r="L44" s="18"/>
      <c r="M44" s="22"/>
      <c r="N44" s="20"/>
      <c r="O44" s="22"/>
      <c r="P44" s="17"/>
      <c r="Q44" s="22"/>
      <c r="R44" s="23" t="str">
        <f t="shared" si="3"/>
        <v/>
      </c>
      <c r="S44" s="24" t="str">
        <f>IF(B44="","",Calcul!$AO44-Calcul!$AP44)</f>
        <v/>
      </c>
      <c r="T44" s="24" t="str">
        <f>IF(B44="","",Calcul!$AO44)</f>
        <v/>
      </c>
      <c r="U44" s="24" t="str">
        <f t="shared" si="4"/>
        <v/>
      </c>
      <c r="V44" s="25" t="str">
        <f>IF(B44="","",IF(AND(ISNUMBER(N44),N44&lt;=EOMONTH(LunaRef,0)),"Ieșit – "&amp;IF(O44="","motiv necompletat",LOWER(O44)),IF(Calcul!$AN44=0,"Neînceput",IF(U44&lt;0.005,"Complet amortizat","În funcțiune"))))</f>
        <v/>
      </c>
      <c r="W44" s="26" t="str">
        <f t="shared" si="5"/>
        <v/>
      </c>
    </row>
    <row r="45" spans="2:23" x14ac:dyDescent="0.2">
      <c r="B45" s="17"/>
      <c r="C45" s="18"/>
      <c r="D45" s="18"/>
      <c r="E45" s="17"/>
      <c r="F45" s="18"/>
      <c r="G45" s="20"/>
      <c r="H45" s="20"/>
      <c r="I45" s="21"/>
      <c r="J45" s="17"/>
      <c r="K45" s="22"/>
      <c r="L45" s="18"/>
      <c r="M45" s="22"/>
      <c r="N45" s="20"/>
      <c r="O45" s="22"/>
      <c r="P45" s="17"/>
      <c r="Q45" s="22"/>
      <c r="R45" s="23" t="str">
        <f t="shared" si="3"/>
        <v/>
      </c>
      <c r="S45" s="24" t="str">
        <f>IF(B45="","",Calcul!$AO45-Calcul!$AP45)</f>
        <v/>
      </c>
      <c r="T45" s="24" t="str">
        <f>IF(B45="","",Calcul!$AO45)</f>
        <v/>
      </c>
      <c r="U45" s="24" t="str">
        <f t="shared" si="4"/>
        <v/>
      </c>
      <c r="V45" s="25" t="str">
        <f>IF(B45="","",IF(AND(ISNUMBER(N45),N45&lt;=EOMONTH(LunaRef,0)),"Ieșit – "&amp;IF(O45="","motiv necompletat",LOWER(O45)),IF(Calcul!$AN45=0,"Neînceput",IF(U45&lt;0.005,"Complet amortizat","În funcțiune"))))</f>
        <v/>
      </c>
      <c r="W45" s="26" t="str">
        <f t="shared" si="5"/>
        <v/>
      </c>
    </row>
    <row r="46" spans="2:23" x14ac:dyDescent="0.2">
      <c r="B46" s="17"/>
      <c r="C46" s="18"/>
      <c r="D46" s="18"/>
      <c r="E46" s="17"/>
      <c r="F46" s="18"/>
      <c r="G46" s="20"/>
      <c r="H46" s="20"/>
      <c r="I46" s="21"/>
      <c r="J46" s="17"/>
      <c r="K46" s="22"/>
      <c r="L46" s="18"/>
      <c r="M46" s="22"/>
      <c r="N46" s="20"/>
      <c r="O46" s="22"/>
      <c r="P46" s="17"/>
      <c r="Q46" s="22"/>
      <c r="R46" s="23" t="str">
        <f t="shared" si="3"/>
        <v/>
      </c>
      <c r="S46" s="24" t="str">
        <f>IF(B46="","",Calcul!$AO46-Calcul!$AP46)</f>
        <v/>
      </c>
      <c r="T46" s="24" t="str">
        <f>IF(B46="","",Calcul!$AO46)</f>
        <v/>
      </c>
      <c r="U46" s="24" t="str">
        <f t="shared" si="4"/>
        <v/>
      </c>
      <c r="V46" s="25" t="str">
        <f>IF(B46="","",IF(AND(ISNUMBER(N46),N46&lt;=EOMONTH(LunaRef,0)),"Ieșit – "&amp;IF(O46="","motiv necompletat",LOWER(O46)),IF(Calcul!$AN46=0,"Neînceput",IF(U46&lt;0.005,"Complet amortizat","În funcțiune"))))</f>
        <v/>
      </c>
      <c r="W46" s="26" t="str">
        <f t="shared" si="5"/>
        <v/>
      </c>
    </row>
    <row r="47" spans="2:23" x14ac:dyDescent="0.2">
      <c r="B47" s="17"/>
      <c r="C47" s="18"/>
      <c r="D47" s="18"/>
      <c r="E47" s="17"/>
      <c r="F47" s="18"/>
      <c r="G47" s="20"/>
      <c r="H47" s="20"/>
      <c r="I47" s="21"/>
      <c r="J47" s="17"/>
      <c r="K47" s="22"/>
      <c r="L47" s="18"/>
      <c r="M47" s="22"/>
      <c r="N47" s="20"/>
      <c r="O47" s="22"/>
      <c r="P47" s="17"/>
      <c r="Q47" s="22"/>
      <c r="R47" s="23" t="str">
        <f t="shared" si="3"/>
        <v/>
      </c>
      <c r="S47" s="24" t="str">
        <f>IF(B47="","",Calcul!$AO47-Calcul!$AP47)</f>
        <v/>
      </c>
      <c r="T47" s="24" t="str">
        <f>IF(B47="","",Calcul!$AO47)</f>
        <v/>
      </c>
      <c r="U47" s="24" t="str">
        <f t="shared" si="4"/>
        <v/>
      </c>
      <c r="V47" s="25" t="str">
        <f>IF(B47="","",IF(AND(ISNUMBER(N47),N47&lt;=EOMONTH(LunaRef,0)),"Ieșit – "&amp;IF(O47="","motiv necompletat",LOWER(O47)),IF(Calcul!$AN47=0,"Neînceput",IF(U47&lt;0.005,"Complet amortizat","În funcțiune"))))</f>
        <v/>
      </c>
      <c r="W47" s="26" t="str">
        <f t="shared" si="5"/>
        <v/>
      </c>
    </row>
    <row r="48" spans="2:23" x14ac:dyDescent="0.2">
      <c r="B48" s="17"/>
      <c r="C48" s="18"/>
      <c r="D48" s="18"/>
      <c r="E48" s="17"/>
      <c r="F48" s="18"/>
      <c r="G48" s="20"/>
      <c r="H48" s="20"/>
      <c r="I48" s="21"/>
      <c r="J48" s="17"/>
      <c r="K48" s="22"/>
      <c r="L48" s="18"/>
      <c r="M48" s="22"/>
      <c r="N48" s="20"/>
      <c r="O48" s="22"/>
      <c r="P48" s="17"/>
      <c r="Q48" s="22"/>
      <c r="R48" s="23" t="str">
        <f t="shared" si="3"/>
        <v/>
      </c>
      <c r="S48" s="24" t="str">
        <f>IF(B48="","",Calcul!$AO48-Calcul!$AP48)</f>
        <v/>
      </c>
      <c r="T48" s="24" t="str">
        <f>IF(B48="","",Calcul!$AO48)</f>
        <v/>
      </c>
      <c r="U48" s="24" t="str">
        <f t="shared" si="4"/>
        <v/>
      </c>
      <c r="V48" s="25" t="str">
        <f>IF(B48="","",IF(AND(ISNUMBER(N48),N48&lt;=EOMONTH(LunaRef,0)),"Ieșit – "&amp;IF(O48="","motiv necompletat",LOWER(O48)),IF(Calcul!$AN48=0,"Neînceput",IF(U48&lt;0.005,"Complet amortizat","În funcțiune"))))</f>
        <v/>
      </c>
      <c r="W48" s="26" t="str">
        <f t="shared" si="5"/>
        <v/>
      </c>
    </row>
    <row r="49" spans="2:23" x14ac:dyDescent="0.2">
      <c r="B49" s="17"/>
      <c r="C49" s="18"/>
      <c r="D49" s="18"/>
      <c r="E49" s="17"/>
      <c r="F49" s="18"/>
      <c r="G49" s="20"/>
      <c r="H49" s="20"/>
      <c r="I49" s="21"/>
      <c r="J49" s="17"/>
      <c r="K49" s="22"/>
      <c r="L49" s="18"/>
      <c r="M49" s="22"/>
      <c r="N49" s="20"/>
      <c r="O49" s="22"/>
      <c r="P49" s="17"/>
      <c r="Q49" s="22"/>
      <c r="R49" s="23" t="str">
        <f t="shared" si="3"/>
        <v/>
      </c>
      <c r="S49" s="24" t="str">
        <f>IF(B49="","",Calcul!$AO49-Calcul!$AP49)</f>
        <v/>
      </c>
      <c r="T49" s="24" t="str">
        <f>IF(B49="","",Calcul!$AO49)</f>
        <v/>
      </c>
      <c r="U49" s="24" t="str">
        <f t="shared" si="4"/>
        <v/>
      </c>
      <c r="V49" s="25" t="str">
        <f>IF(B49="","",IF(AND(ISNUMBER(N49),N49&lt;=EOMONTH(LunaRef,0)),"Ieșit – "&amp;IF(O49="","motiv necompletat",LOWER(O49)),IF(Calcul!$AN49=0,"Neînceput",IF(U49&lt;0.005,"Complet amortizat","În funcțiune"))))</f>
        <v/>
      </c>
      <c r="W49" s="26" t="str">
        <f t="shared" si="5"/>
        <v/>
      </c>
    </row>
    <row r="50" spans="2:23" x14ac:dyDescent="0.2">
      <c r="B50" s="17"/>
      <c r="C50" s="18"/>
      <c r="D50" s="18"/>
      <c r="E50" s="17"/>
      <c r="F50" s="18"/>
      <c r="G50" s="20"/>
      <c r="H50" s="20"/>
      <c r="I50" s="21"/>
      <c r="J50" s="17"/>
      <c r="K50" s="22"/>
      <c r="L50" s="18"/>
      <c r="M50" s="22"/>
      <c r="N50" s="20"/>
      <c r="O50" s="22"/>
      <c r="P50" s="17"/>
      <c r="Q50" s="22"/>
      <c r="R50" s="23" t="str">
        <f t="shared" si="3"/>
        <v/>
      </c>
      <c r="S50" s="24" t="str">
        <f>IF(B50="","",Calcul!$AO50-Calcul!$AP50)</f>
        <v/>
      </c>
      <c r="T50" s="24" t="str">
        <f>IF(B50="","",Calcul!$AO50)</f>
        <v/>
      </c>
      <c r="U50" s="24" t="str">
        <f t="shared" si="4"/>
        <v/>
      </c>
      <c r="V50" s="25" t="str">
        <f>IF(B50="","",IF(AND(ISNUMBER(N50),N50&lt;=EOMONTH(LunaRef,0)),"Ieșit – "&amp;IF(O50="","motiv necompletat",LOWER(O50)),IF(Calcul!$AN50=0,"Neînceput",IF(U50&lt;0.005,"Complet amortizat","În funcțiune"))))</f>
        <v/>
      </c>
      <c r="W50" s="26" t="str">
        <f t="shared" si="5"/>
        <v/>
      </c>
    </row>
    <row r="51" spans="2:23" x14ac:dyDescent="0.2">
      <c r="B51" s="17"/>
      <c r="C51" s="18"/>
      <c r="D51" s="18"/>
      <c r="E51" s="17"/>
      <c r="F51" s="18"/>
      <c r="G51" s="20"/>
      <c r="H51" s="20"/>
      <c r="I51" s="21"/>
      <c r="J51" s="17"/>
      <c r="K51" s="22"/>
      <c r="L51" s="18"/>
      <c r="M51" s="22"/>
      <c r="N51" s="20"/>
      <c r="O51" s="22"/>
      <c r="P51" s="17"/>
      <c r="Q51" s="22"/>
      <c r="R51" s="23" t="str">
        <f t="shared" si="3"/>
        <v/>
      </c>
      <c r="S51" s="24" t="str">
        <f>IF(B51="","",Calcul!$AO51-Calcul!$AP51)</f>
        <v/>
      </c>
      <c r="T51" s="24" t="str">
        <f>IF(B51="","",Calcul!$AO51)</f>
        <v/>
      </c>
      <c r="U51" s="24" t="str">
        <f t="shared" si="4"/>
        <v/>
      </c>
      <c r="V51" s="25" t="str">
        <f>IF(B51="","",IF(AND(ISNUMBER(N51),N51&lt;=EOMONTH(LunaRef,0)),"Ieșit – "&amp;IF(O51="","motiv necompletat",LOWER(O51)),IF(Calcul!$AN51=0,"Neînceput",IF(U51&lt;0.005,"Complet amortizat","În funcțiune"))))</f>
        <v/>
      </c>
      <c r="W51" s="26" t="str">
        <f t="shared" si="5"/>
        <v/>
      </c>
    </row>
    <row r="52" spans="2:23" x14ac:dyDescent="0.2">
      <c r="B52" s="17"/>
      <c r="C52" s="18"/>
      <c r="D52" s="18"/>
      <c r="E52" s="17"/>
      <c r="F52" s="18"/>
      <c r="G52" s="20"/>
      <c r="H52" s="20"/>
      <c r="I52" s="21"/>
      <c r="J52" s="17"/>
      <c r="K52" s="22"/>
      <c r="L52" s="18"/>
      <c r="M52" s="22"/>
      <c r="N52" s="20"/>
      <c r="O52" s="22"/>
      <c r="P52" s="17"/>
      <c r="Q52" s="22"/>
      <c r="R52" s="23" t="str">
        <f t="shared" si="3"/>
        <v/>
      </c>
      <c r="S52" s="24" t="str">
        <f>IF(B52="","",Calcul!$AO52-Calcul!$AP52)</f>
        <v/>
      </c>
      <c r="T52" s="24" t="str">
        <f>IF(B52="","",Calcul!$AO52)</f>
        <v/>
      </c>
      <c r="U52" s="24" t="str">
        <f t="shared" si="4"/>
        <v/>
      </c>
      <c r="V52" s="25" t="str">
        <f>IF(B52="","",IF(AND(ISNUMBER(N52),N52&lt;=EOMONTH(LunaRef,0)),"Ieșit – "&amp;IF(O52="","motiv necompletat",LOWER(O52)),IF(Calcul!$AN52=0,"Neînceput",IF(U52&lt;0.005,"Complet amortizat","În funcțiune"))))</f>
        <v/>
      </c>
      <c r="W52" s="26" t="str">
        <f t="shared" si="5"/>
        <v/>
      </c>
    </row>
    <row r="53" spans="2:23" x14ac:dyDescent="0.2">
      <c r="B53" s="17"/>
      <c r="C53" s="18"/>
      <c r="D53" s="18"/>
      <c r="E53" s="17"/>
      <c r="F53" s="18"/>
      <c r="G53" s="20"/>
      <c r="H53" s="20"/>
      <c r="I53" s="21"/>
      <c r="J53" s="17"/>
      <c r="K53" s="22"/>
      <c r="L53" s="18"/>
      <c r="M53" s="22"/>
      <c r="N53" s="20"/>
      <c r="O53" s="22"/>
      <c r="P53" s="17"/>
      <c r="Q53" s="22"/>
      <c r="R53" s="23" t="str">
        <f t="shared" si="3"/>
        <v/>
      </c>
      <c r="S53" s="24" t="str">
        <f>IF(B53="","",Calcul!$AO53-Calcul!$AP53)</f>
        <v/>
      </c>
      <c r="T53" s="24" t="str">
        <f>IF(B53="","",Calcul!$AO53)</f>
        <v/>
      </c>
      <c r="U53" s="24" t="str">
        <f t="shared" si="4"/>
        <v/>
      </c>
      <c r="V53" s="25" t="str">
        <f>IF(B53="","",IF(AND(ISNUMBER(N53),N53&lt;=EOMONTH(LunaRef,0)),"Ieșit – "&amp;IF(O53="","motiv necompletat",LOWER(O53)),IF(Calcul!$AN53=0,"Neînceput",IF(U53&lt;0.005,"Complet amortizat","În funcțiune"))))</f>
        <v/>
      </c>
      <c r="W53" s="26" t="str">
        <f t="shared" si="5"/>
        <v/>
      </c>
    </row>
    <row r="54" spans="2:23" x14ac:dyDescent="0.2">
      <c r="B54" s="17"/>
      <c r="C54" s="18"/>
      <c r="D54" s="18"/>
      <c r="E54" s="17"/>
      <c r="F54" s="18"/>
      <c r="G54" s="20"/>
      <c r="H54" s="20"/>
      <c r="I54" s="21"/>
      <c r="J54" s="17"/>
      <c r="K54" s="22"/>
      <c r="L54" s="18"/>
      <c r="M54" s="22"/>
      <c r="N54" s="20"/>
      <c r="O54" s="22"/>
      <c r="P54" s="17"/>
      <c r="Q54" s="22"/>
      <c r="R54" s="23" t="str">
        <f t="shared" si="3"/>
        <v/>
      </c>
      <c r="S54" s="24" t="str">
        <f>IF(B54="","",Calcul!$AO54-Calcul!$AP54)</f>
        <v/>
      </c>
      <c r="T54" s="24" t="str">
        <f>IF(B54="","",Calcul!$AO54)</f>
        <v/>
      </c>
      <c r="U54" s="24" t="str">
        <f t="shared" si="4"/>
        <v/>
      </c>
      <c r="V54" s="25" t="str">
        <f>IF(B54="","",IF(AND(ISNUMBER(N54),N54&lt;=EOMONTH(LunaRef,0)),"Ieșit – "&amp;IF(O54="","motiv necompletat",LOWER(O54)),IF(Calcul!$AN54=0,"Neînceput",IF(U54&lt;0.005,"Complet amortizat","În funcțiune"))))</f>
        <v/>
      </c>
      <c r="W54" s="26" t="str">
        <f t="shared" si="5"/>
        <v/>
      </c>
    </row>
    <row r="55" spans="2:23" x14ac:dyDescent="0.2">
      <c r="B55" s="17"/>
      <c r="C55" s="18"/>
      <c r="D55" s="18"/>
      <c r="E55" s="17"/>
      <c r="F55" s="18"/>
      <c r="G55" s="20"/>
      <c r="H55" s="20"/>
      <c r="I55" s="21"/>
      <c r="J55" s="17"/>
      <c r="K55" s="22"/>
      <c r="L55" s="18"/>
      <c r="M55" s="22"/>
      <c r="N55" s="20"/>
      <c r="O55" s="22"/>
      <c r="P55" s="17"/>
      <c r="Q55" s="22"/>
      <c r="R55" s="23" t="str">
        <f t="shared" si="3"/>
        <v/>
      </c>
      <c r="S55" s="24" t="str">
        <f>IF(B55="","",Calcul!$AO55-Calcul!$AP55)</f>
        <v/>
      </c>
      <c r="T55" s="24" t="str">
        <f>IF(B55="","",Calcul!$AO55)</f>
        <v/>
      </c>
      <c r="U55" s="24" t="str">
        <f t="shared" si="4"/>
        <v/>
      </c>
      <c r="V55" s="25" t="str">
        <f>IF(B55="","",IF(AND(ISNUMBER(N55),N55&lt;=EOMONTH(LunaRef,0)),"Ieșit – "&amp;IF(O55="","motiv necompletat",LOWER(O55)),IF(Calcul!$AN55=0,"Neînceput",IF(U55&lt;0.005,"Complet amortizat","În funcțiune"))))</f>
        <v/>
      </c>
      <c r="W55" s="26" t="str">
        <f t="shared" si="5"/>
        <v/>
      </c>
    </row>
    <row r="56" spans="2:23" x14ac:dyDescent="0.2">
      <c r="B56" s="17"/>
      <c r="C56" s="18"/>
      <c r="D56" s="18"/>
      <c r="E56" s="17"/>
      <c r="F56" s="18"/>
      <c r="G56" s="20"/>
      <c r="H56" s="20"/>
      <c r="I56" s="21"/>
      <c r="J56" s="17"/>
      <c r="K56" s="22"/>
      <c r="L56" s="18"/>
      <c r="M56" s="22"/>
      <c r="N56" s="20"/>
      <c r="O56" s="22"/>
      <c r="P56" s="17"/>
      <c r="Q56" s="22"/>
      <c r="R56" s="23" t="str">
        <f t="shared" si="3"/>
        <v/>
      </c>
      <c r="S56" s="24" t="str">
        <f>IF(B56="","",Calcul!$AO56-Calcul!$AP56)</f>
        <v/>
      </c>
      <c r="T56" s="24" t="str">
        <f>IF(B56="","",Calcul!$AO56)</f>
        <v/>
      </c>
      <c r="U56" s="24" t="str">
        <f t="shared" si="4"/>
        <v/>
      </c>
      <c r="V56" s="25" t="str">
        <f>IF(B56="","",IF(AND(ISNUMBER(N56),N56&lt;=EOMONTH(LunaRef,0)),"Ieșit – "&amp;IF(O56="","motiv necompletat",LOWER(O56)),IF(Calcul!$AN56=0,"Neînceput",IF(U56&lt;0.005,"Complet amortizat","În funcțiune"))))</f>
        <v/>
      </c>
      <c r="W56" s="26" t="str">
        <f t="shared" si="5"/>
        <v/>
      </c>
    </row>
    <row r="57" spans="2:23" x14ac:dyDescent="0.2">
      <c r="B57" s="17"/>
      <c r="C57" s="18"/>
      <c r="D57" s="18"/>
      <c r="E57" s="17"/>
      <c r="F57" s="18"/>
      <c r="G57" s="20"/>
      <c r="H57" s="20"/>
      <c r="I57" s="21"/>
      <c r="J57" s="17"/>
      <c r="K57" s="22"/>
      <c r="L57" s="18"/>
      <c r="M57" s="22"/>
      <c r="N57" s="20"/>
      <c r="O57" s="22"/>
      <c r="P57" s="17"/>
      <c r="Q57" s="22"/>
      <c r="R57" s="23" t="str">
        <f t="shared" si="3"/>
        <v/>
      </c>
      <c r="S57" s="24" t="str">
        <f>IF(B57="","",Calcul!$AO57-Calcul!$AP57)</f>
        <v/>
      </c>
      <c r="T57" s="24" t="str">
        <f>IF(B57="","",Calcul!$AO57)</f>
        <v/>
      </c>
      <c r="U57" s="24" t="str">
        <f t="shared" si="4"/>
        <v/>
      </c>
      <c r="V57" s="25" t="str">
        <f>IF(B57="","",IF(AND(ISNUMBER(N57),N57&lt;=EOMONTH(LunaRef,0)),"Ieșit – "&amp;IF(O57="","motiv necompletat",LOWER(O57)),IF(Calcul!$AN57=0,"Neînceput",IF(U57&lt;0.005,"Complet amortizat","În funcțiune"))))</f>
        <v/>
      </c>
      <c r="W57" s="26" t="str">
        <f t="shared" si="5"/>
        <v/>
      </c>
    </row>
    <row r="58" spans="2:23" x14ac:dyDescent="0.2">
      <c r="B58" s="17"/>
      <c r="C58" s="18"/>
      <c r="D58" s="18"/>
      <c r="E58" s="17"/>
      <c r="F58" s="18"/>
      <c r="G58" s="20"/>
      <c r="H58" s="20"/>
      <c r="I58" s="21"/>
      <c r="J58" s="17"/>
      <c r="K58" s="22"/>
      <c r="L58" s="18"/>
      <c r="M58" s="22"/>
      <c r="N58" s="20"/>
      <c r="O58" s="22"/>
      <c r="P58" s="17"/>
      <c r="Q58" s="22"/>
      <c r="R58" s="23" t="str">
        <f t="shared" si="3"/>
        <v/>
      </c>
      <c r="S58" s="24" t="str">
        <f>IF(B58="","",Calcul!$AO58-Calcul!$AP58)</f>
        <v/>
      </c>
      <c r="T58" s="24" t="str">
        <f>IF(B58="","",Calcul!$AO58)</f>
        <v/>
      </c>
      <c r="U58" s="24" t="str">
        <f t="shared" si="4"/>
        <v/>
      </c>
      <c r="V58" s="25" t="str">
        <f>IF(B58="","",IF(AND(ISNUMBER(N58),N58&lt;=EOMONTH(LunaRef,0)),"Ieșit – "&amp;IF(O58="","motiv necompletat",LOWER(O58)),IF(Calcul!$AN58=0,"Neînceput",IF(U58&lt;0.005,"Complet amortizat","În funcțiune"))))</f>
        <v/>
      </c>
      <c r="W58" s="26" t="str">
        <f t="shared" si="5"/>
        <v/>
      </c>
    </row>
    <row r="59" spans="2:23" x14ac:dyDescent="0.2">
      <c r="B59" s="17"/>
      <c r="C59" s="18"/>
      <c r="D59" s="18"/>
      <c r="E59" s="17"/>
      <c r="F59" s="18"/>
      <c r="G59" s="20"/>
      <c r="H59" s="20"/>
      <c r="I59" s="21"/>
      <c r="J59" s="17"/>
      <c r="K59" s="22"/>
      <c r="L59" s="18"/>
      <c r="M59" s="22"/>
      <c r="N59" s="20"/>
      <c r="O59" s="22"/>
      <c r="P59" s="17"/>
      <c r="Q59" s="22"/>
      <c r="R59" s="23" t="str">
        <f t="shared" si="3"/>
        <v/>
      </c>
      <c r="S59" s="24" t="str">
        <f>IF(B59="","",Calcul!$AO59-Calcul!$AP59)</f>
        <v/>
      </c>
      <c r="T59" s="24" t="str">
        <f>IF(B59="","",Calcul!$AO59)</f>
        <v/>
      </c>
      <c r="U59" s="24" t="str">
        <f t="shared" si="4"/>
        <v/>
      </c>
      <c r="V59" s="25" t="str">
        <f>IF(B59="","",IF(AND(ISNUMBER(N59),N59&lt;=EOMONTH(LunaRef,0)),"Ieșit – "&amp;IF(O59="","motiv necompletat",LOWER(O59)),IF(Calcul!$AN59=0,"Neînceput",IF(U59&lt;0.005,"Complet amortizat","În funcțiune"))))</f>
        <v/>
      </c>
      <c r="W59" s="26" t="str">
        <f t="shared" si="5"/>
        <v/>
      </c>
    </row>
    <row r="60" spans="2:23" x14ac:dyDescent="0.2">
      <c r="B60" s="17"/>
      <c r="C60" s="18"/>
      <c r="D60" s="18"/>
      <c r="E60" s="17"/>
      <c r="F60" s="18"/>
      <c r="G60" s="20"/>
      <c r="H60" s="20"/>
      <c r="I60" s="21"/>
      <c r="J60" s="17"/>
      <c r="K60" s="22"/>
      <c r="L60" s="18"/>
      <c r="M60" s="22"/>
      <c r="N60" s="20"/>
      <c r="O60" s="22"/>
      <c r="P60" s="17"/>
      <c r="Q60" s="22"/>
      <c r="R60" s="23" t="str">
        <f t="shared" si="3"/>
        <v/>
      </c>
      <c r="S60" s="24" t="str">
        <f>IF(B60="","",Calcul!$AO60-Calcul!$AP60)</f>
        <v/>
      </c>
      <c r="T60" s="24" t="str">
        <f>IF(B60="","",Calcul!$AO60)</f>
        <v/>
      </c>
      <c r="U60" s="24" t="str">
        <f t="shared" si="4"/>
        <v/>
      </c>
      <c r="V60" s="25" t="str">
        <f>IF(B60="","",IF(AND(ISNUMBER(N60),N60&lt;=EOMONTH(LunaRef,0)),"Ieșit – "&amp;IF(O60="","motiv necompletat",LOWER(O60)),IF(Calcul!$AN60=0,"Neînceput",IF(U60&lt;0.005,"Complet amortizat","În funcțiune"))))</f>
        <v/>
      </c>
      <c r="W60" s="26" t="str">
        <f t="shared" si="5"/>
        <v/>
      </c>
    </row>
    <row r="61" spans="2:23" x14ac:dyDescent="0.2">
      <c r="B61" s="17"/>
      <c r="C61" s="18"/>
      <c r="D61" s="18"/>
      <c r="E61" s="17"/>
      <c r="F61" s="18"/>
      <c r="G61" s="20"/>
      <c r="H61" s="20"/>
      <c r="I61" s="21"/>
      <c r="J61" s="17"/>
      <c r="K61" s="22"/>
      <c r="L61" s="18"/>
      <c r="M61" s="22"/>
      <c r="N61" s="20"/>
      <c r="O61" s="22"/>
      <c r="P61" s="17"/>
      <c r="Q61" s="22"/>
      <c r="R61" s="23" t="str">
        <f t="shared" si="3"/>
        <v/>
      </c>
      <c r="S61" s="24" t="str">
        <f>IF(B61="","",Calcul!$AO61-Calcul!$AP61)</f>
        <v/>
      </c>
      <c r="T61" s="24" t="str">
        <f>IF(B61="","",Calcul!$AO61)</f>
        <v/>
      </c>
      <c r="U61" s="24" t="str">
        <f t="shared" si="4"/>
        <v/>
      </c>
      <c r="V61" s="25" t="str">
        <f>IF(B61="","",IF(AND(ISNUMBER(N61),N61&lt;=EOMONTH(LunaRef,0)),"Ieșit – "&amp;IF(O61="","motiv necompletat",LOWER(O61)),IF(Calcul!$AN61=0,"Neînceput",IF(U61&lt;0.005,"Complet amortizat","În funcțiune"))))</f>
        <v/>
      </c>
      <c r="W61" s="26" t="str">
        <f t="shared" si="5"/>
        <v/>
      </c>
    </row>
    <row r="62" spans="2:23" x14ac:dyDescent="0.2">
      <c r="B62" s="17"/>
      <c r="C62" s="18"/>
      <c r="D62" s="18"/>
      <c r="E62" s="17"/>
      <c r="F62" s="18"/>
      <c r="G62" s="20"/>
      <c r="H62" s="20"/>
      <c r="I62" s="21"/>
      <c r="J62" s="17"/>
      <c r="K62" s="22"/>
      <c r="L62" s="18"/>
      <c r="M62" s="22"/>
      <c r="N62" s="20"/>
      <c r="O62" s="22"/>
      <c r="P62" s="17"/>
      <c r="Q62" s="22"/>
      <c r="R62" s="23" t="str">
        <f t="shared" si="3"/>
        <v/>
      </c>
      <c r="S62" s="24" t="str">
        <f>IF(B62="","",Calcul!$AO62-Calcul!$AP62)</f>
        <v/>
      </c>
      <c r="T62" s="24" t="str">
        <f>IF(B62="","",Calcul!$AO62)</f>
        <v/>
      </c>
      <c r="U62" s="24" t="str">
        <f t="shared" si="4"/>
        <v/>
      </c>
      <c r="V62" s="25" t="str">
        <f>IF(B62="","",IF(AND(ISNUMBER(N62),N62&lt;=EOMONTH(LunaRef,0)),"Ieșit – "&amp;IF(O62="","motiv necompletat",LOWER(O62)),IF(Calcul!$AN62=0,"Neînceput",IF(U62&lt;0.005,"Complet amortizat","În funcțiune"))))</f>
        <v/>
      </c>
      <c r="W62" s="26" t="str">
        <f t="shared" si="5"/>
        <v/>
      </c>
    </row>
    <row r="63" spans="2:23" x14ac:dyDescent="0.2">
      <c r="B63" s="17"/>
      <c r="C63" s="18"/>
      <c r="D63" s="18"/>
      <c r="E63" s="17"/>
      <c r="F63" s="18"/>
      <c r="G63" s="20"/>
      <c r="H63" s="20"/>
      <c r="I63" s="21"/>
      <c r="J63" s="17"/>
      <c r="K63" s="22"/>
      <c r="L63" s="18"/>
      <c r="M63" s="22"/>
      <c r="N63" s="20"/>
      <c r="O63" s="22"/>
      <c r="P63" s="17"/>
      <c r="Q63" s="22"/>
      <c r="R63" s="23" t="str">
        <f t="shared" si="3"/>
        <v/>
      </c>
      <c r="S63" s="24" t="str">
        <f>IF(B63="","",Calcul!$AO63-Calcul!$AP63)</f>
        <v/>
      </c>
      <c r="T63" s="24" t="str">
        <f>IF(B63="","",Calcul!$AO63)</f>
        <v/>
      </c>
      <c r="U63" s="24" t="str">
        <f t="shared" si="4"/>
        <v/>
      </c>
      <c r="V63" s="25" t="str">
        <f>IF(B63="","",IF(AND(ISNUMBER(N63),N63&lt;=EOMONTH(LunaRef,0)),"Ieșit – "&amp;IF(O63="","motiv necompletat",LOWER(O63)),IF(Calcul!$AN63=0,"Neînceput",IF(U63&lt;0.005,"Complet amortizat","În funcțiune"))))</f>
        <v/>
      </c>
      <c r="W63" s="26" t="str">
        <f t="shared" si="5"/>
        <v/>
      </c>
    </row>
    <row r="64" spans="2:23" x14ac:dyDescent="0.2">
      <c r="B64" s="17"/>
      <c r="C64" s="18"/>
      <c r="D64" s="18"/>
      <c r="E64" s="17"/>
      <c r="F64" s="18"/>
      <c r="G64" s="20"/>
      <c r="H64" s="20"/>
      <c r="I64" s="21"/>
      <c r="J64" s="17"/>
      <c r="K64" s="22"/>
      <c r="L64" s="18"/>
      <c r="M64" s="22"/>
      <c r="N64" s="20"/>
      <c r="O64" s="22"/>
      <c r="P64" s="17"/>
      <c r="Q64" s="22"/>
      <c r="R64" s="23" t="str">
        <f t="shared" si="3"/>
        <v/>
      </c>
      <c r="S64" s="24" t="str">
        <f>IF(B64="","",Calcul!$AO64-Calcul!$AP64)</f>
        <v/>
      </c>
      <c r="T64" s="24" t="str">
        <f>IF(B64="","",Calcul!$AO64)</f>
        <v/>
      </c>
      <c r="U64" s="24" t="str">
        <f t="shared" si="4"/>
        <v/>
      </c>
      <c r="V64" s="25" t="str">
        <f>IF(B64="","",IF(AND(ISNUMBER(N64),N64&lt;=EOMONTH(LunaRef,0)),"Ieșit – "&amp;IF(O64="","motiv necompletat",LOWER(O64)),IF(Calcul!$AN64=0,"Neînceput",IF(U64&lt;0.005,"Complet amortizat","În funcțiune"))))</f>
        <v/>
      </c>
      <c r="W64" s="26" t="str">
        <f t="shared" si="5"/>
        <v/>
      </c>
    </row>
    <row r="65" spans="2:23" x14ac:dyDescent="0.2">
      <c r="B65" s="17"/>
      <c r="C65" s="18"/>
      <c r="D65" s="18"/>
      <c r="E65" s="17"/>
      <c r="F65" s="18"/>
      <c r="G65" s="20"/>
      <c r="H65" s="20"/>
      <c r="I65" s="21"/>
      <c r="J65" s="17"/>
      <c r="K65" s="22"/>
      <c r="L65" s="18"/>
      <c r="M65" s="22"/>
      <c r="N65" s="20"/>
      <c r="O65" s="22"/>
      <c r="P65" s="17"/>
      <c r="Q65" s="22"/>
      <c r="R65" s="23" t="str">
        <f t="shared" si="3"/>
        <v/>
      </c>
      <c r="S65" s="24" t="str">
        <f>IF(B65="","",Calcul!$AO65-Calcul!$AP65)</f>
        <v/>
      </c>
      <c r="T65" s="24" t="str">
        <f>IF(B65="","",Calcul!$AO65)</f>
        <v/>
      </c>
      <c r="U65" s="24" t="str">
        <f t="shared" si="4"/>
        <v/>
      </c>
      <c r="V65" s="25" t="str">
        <f>IF(B65="","",IF(AND(ISNUMBER(N65),N65&lt;=EOMONTH(LunaRef,0)),"Ieșit – "&amp;IF(O65="","motiv necompletat",LOWER(O65)),IF(Calcul!$AN65=0,"Neînceput",IF(U65&lt;0.005,"Complet amortizat","În funcțiune"))))</f>
        <v/>
      </c>
      <c r="W65" s="26" t="str">
        <f t="shared" si="5"/>
        <v/>
      </c>
    </row>
    <row r="66" spans="2:23" x14ac:dyDescent="0.2">
      <c r="B66" s="17"/>
      <c r="C66" s="18"/>
      <c r="D66" s="18"/>
      <c r="E66" s="17"/>
      <c r="F66" s="18"/>
      <c r="G66" s="20"/>
      <c r="H66" s="20"/>
      <c r="I66" s="21"/>
      <c r="J66" s="17"/>
      <c r="K66" s="22"/>
      <c r="L66" s="18"/>
      <c r="M66" s="22"/>
      <c r="N66" s="20"/>
      <c r="O66" s="22"/>
      <c r="P66" s="17"/>
      <c r="Q66" s="22"/>
      <c r="R66" s="23" t="str">
        <f t="shared" si="3"/>
        <v/>
      </c>
      <c r="S66" s="24" t="str">
        <f>IF(B66="","",Calcul!$AO66-Calcul!$AP66)</f>
        <v/>
      </c>
      <c r="T66" s="24" t="str">
        <f>IF(B66="","",Calcul!$AO66)</f>
        <v/>
      </c>
      <c r="U66" s="24" t="str">
        <f t="shared" si="4"/>
        <v/>
      </c>
      <c r="V66" s="25" t="str">
        <f>IF(B66="","",IF(AND(ISNUMBER(N66),N66&lt;=EOMONTH(LunaRef,0)),"Ieșit – "&amp;IF(O66="","motiv necompletat",LOWER(O66)),IF(Calcul!$AN66=0,"Neînceput",IF(U66&lt;0.005,"Complet amortizat","În funcțiune"))))</f>
        <v/>
      </c>
      <c r="W66" s="26" t="str">
        <f t="shared" si="5"/>
        <v/>
      </c>
    </row>
    <row r="67" spans="2:23" x14ac:dyDescent="0.2">
      <c r="B67" s="17"/>
      <c r="C67" s="18"/>
      <c r="D67" s="18"/>
      <c r="E67" s="17"/>
      <c r="F67" s="18"/>
      <c r="G67" s="20"/>
      <c r="H67" s="20"/>
      <c r="I67" s="21"/>
      <c r="J67" s="17"/>
      <c r="K67" s="22"/>
      <c r="L67" s="18"/>
      <c r="M67" s="22"/>
      <c r="N67" s="20"/>
      <c r="O67" s="22"/>
      <c r="P67" s="17"/>
      <c r="Q67" s="22"/>
      <c r="R67" s="23" t="str">
        <f t="shared" si="3"/>
        <v/>
      </c>
      <c r="S67" s="24" t="str">
        <f>IF(B67="","",Calcul!$AO67-Calcul!$AP67)</f>
        <v/>
      </c>
      <c r="T67" s="24" t="str">
        <f>IF(B67="","",Calcul!$AO67)</f>
        <v/>
      </c>
      <c r="U67" s="24" t="str">
        <f t="shared" si="4"/>
        <v/>
      </c>
      <c r="V67" s="25" t="str">
        <f>IF(B67="","",IF(AND(ISNUMBER(N67),N67&lt;=EOMONTH(LunaRef,0)),"Ieșit – "&amp;IF(O67="","motiv necompletat",LOWER(O67)),IF(Calcul!$AN67=0,"Neînceput",IF(U67&lt;0.005,"Complet amortizat","În funcțiune"))))</f>
        <v/>
      </c>
      <c r="W67" s="26" t="str">
        <f t="shared" si="5"/>
        <v/>
      </c>
    </row>
    <row r="68" spans="2:23" x14ac:dyDescent="0.2">
      <c r="B68" s="17"/>
      <c r="C68" s="18"/>
      <c r="D68" s="18"/>
      <c r="E68" s="17"/>
      <c r="F68" s="18"/>
      <c r="G68" s="20"/>
      <c r="H68" s="20"/>
      <c r="I68" s="21"/>
      <c r="J68" s="17"/>
      <c r="K68" s="22"/>
      <c r="L68" s="18"/>
      <c r="M68" s="22"/>
      <c r="N68" s="20"/>
      <c r="O68" s="22"/>
      <c r="P68" s="17"/>
      <c r="Q68" s="22"/>
      <c r="R68" s="23" t="str">
        <f t="shared" si="3"/>
        <v/>
      </c>
      <c r="S68" s="24" t="str">
        <f>IF(B68="","",Calcul!$AO68-Calcul!$AP68)</f>
        <v/>
      </c>
      <c r="T68" s="24" t="str">
        <f>IF(B68="","",Calcul!$AO68)</f>
        <v/>
      </c>
      <c r="U68" s="24" t="str">
        <f t="shared" si="4"/>
        <v/>
      </c>
      <c r="V68" s="25" t="str">
        <f>IF(B68="","",IF(AND(ISNUMBER(N68),N68&lt;=EOMONTH(LunaRef,0)),"Ieșit – "&amp;IF(O68="","motiv necompletat",LOWER(O68)),IF(Calcul!$AN68=0,"Neînceput",IF(U68&lt;0.005,"Complet amortizat","În funcțiune"))))</f>
        <v/>
      </c>
      <c r="W68" s="26" t="str">
        <f t="shared" si="5"/>
        <v/>
      </c>
    </row>
    <row r="69" spans="2:23" x14ac:dyDescent="0.2">
      <c r="B69" s="17"/>
      <c r="C69" s="18"/>
      <c r="D69" s="18"/>
      <c r="E69" s="17"/>
      <c r="F69" s="18"/>
      <c r="G69" s="20"/>
      <c r="H69" s="20"/>
      <c r="I69" s="21"/>
      <c r="J69" s="17"/>
      <c r="K69" s="22"/>
      <c r="L69" s="18"/>
      <c r="M69" s="22"/>
      <c r="N69" s="20"/>
      <c r="O69" s="22"/>
      <c r="P69" s="17"/>
      <c r="Q69" s="22"/>
      <c r="R69" s="23" t="str">
        <f t="shared" ref="R69:R104" si="6">IF(ISNUMBER(H69),EOMONTH(H69,0)+1,"")</f>
        <v/>
      </c>
      <c r="S69" s="24" t="str">
        <f>IF(B69="","",Calcul!$AO69-Calcul!$AP69)</f>
        <v/>
      </c>
      <c r="T69" s="24" t="str">
        <f>IF(B69="","",Calcul!$AO69)</f>
        <v/>
      </c>
      <c r="U69" s="24" t="str">
        <f t="shared" ref="U69:U100" si="7">IF(B69="","",N(I69)-T69)</f>
        <v/>
      </c>
      <c r="V69" s="25" t="str">
        <f>IF(B69="","",IF(AND(ISNUMBER(N69),N69&lt;=EOMONTH(LunaRef,0)),"Ieșit – "&amp;IF(O69="","motiv necompletat",LOWER(O69)),IF(Calcul!$AN69=0,"Neînceput",IF(U69&lt;0.005,"Complet amortizat","În funcțiune"))))</f>
        <v/>
      </c>
      <c r="W69" s="26" t="str">
        <f t="shared" ref="W69:W100" si="8">IF(B69="","",TRIM(IF(COUNTIF($B$5:$B$104,B69)&gt;1,"Nr. de inventar dublat. ","")&amp;IF(OR(C69="",D69="",NOT(ISNUMBER(H69)),N(I69)&lt;=0,N(J69)&lt;=0,K69=""),"Date incomplete. ","")&amp;IF(AND(N(I69)&gt;0,I69&lt;PlafonMF),"Sub "&amp;TEXT(PlafonMF,"#.##0")&amp;" lei: poate fi obiect de inventar. ","")&amp;IF(AND(D69&lt;&gt;"",K69&lt;&gt;""),IF(IFERROR(IF(K69="Liniară",TRUE,IF(K69="Degresivă",VLOOKUP(D69,TabelGrupe,4,FALSE)="Da",IF(K69="Accelerată",VLOOKUP(D69,TabelGrupe,5,FALSE)="Da",IF(K69="Superaccelerată (2026)",AND(VLOOKUP(D69,TabelGrupe,6,FALSE)="Da",YEAR(H69)=2026),FALSE)))),FALSE),"","Metoda nu este permisă pentru această grupă. "),"")&amp;IF(AND(K69&lt;&gt;"Liniară",N(J69)&gt;30),"Peste 30 de ani: folosește metoda liniară. ","")&amp;IF(AND(ISNUMBER(G69),ISNUMBER(H69),H69&lt;G69),"Pus în funcțiune înainte de intrare. ","")&amp;IF(AND(V69="Complet amortizat",P69&lt;&gt;"Nu"),"Complet amortizat: verifică dacă mai este folosit. ","")&amp;IF(AND(ISNUMBER(N69),O69=""),"Lipsește motivul ieșirii. ","")&amp;IF(AND(P69="Nu",NOT(ISNUMBER(N69))),"Negăsit la inventar: întocmește proces-verbal. ","")&amp;IF(AND(Q69="Neutilizată",NOT(ISNUMBER(N69))),"Neutilizat: analizează casarea sau vânzarea. ","")))</f>
        <v/>
      </c>
    </row>
    <row r="70" spans="2:23" x14ac:dyDescent="0.2">
      <c r="B70" s="17"/>
      <c r="C70" s="18"/>
      <c r="D70" s="18"/>
      <c r="E70" s="17"/>
      <c r="F70" s="18"/>
      <c r="G70" s="20"/>
      <c r="H70" s="20"/>
      <c r="I70" s="21"/>
      <c r="J70" s="17"/>
      <c r="K70" s="22"/>
      <c r="L70" s="18"/>
      <c r="M70" s="22"/>
      <c r="N70" s="20"/>
      <c r="O70" s="22"/>
      <c r="P70" s="17"/>
      <c r="Q70" s="22"/>
      <c r="R70" s="23" t="str">
        <f t="shared" si="6"/>
        <v/>
      </c>
      <c r="S70" s="24" t="str">
        <f>IF(B70="","",Calcul!$AO70-Calcul!$AP70)</f>
        <v/>
      </c>
      <c r="T70" s="24" t="str">
        <f>IF(B70="","",Calcul!$AO70)</f>
        <v/>
      </c>
      <c r="U70" s="24" t="str">
        <f t="shared" si="7"/>
        <v/>
      </c>
      <c r="V70" s="25" t="str">
        <f>IF(B70="","",IF(AND(ISNUMBER(N70),N70&lt;=EOMONTH(LunaRef,0)),"Ieșit – "&amp;IF(O70="","motiv necompletat",LOWER(O70)),IF(Calcul!$AN70=0,"Neînceput",IF(U70&lt;0.005,"Complet amortizat","În funcțiune"))))</f>
        <v/>
      </c>
      <c r="W70" s="26" t="str">
        <f t="shared" si="8"/>
        <v/>
      </c>
    </row>
    <row r="71" spans="2:23" x14ac:dyDescent="0.2">
      <c r="B71" s="17"/>
      <c r="C71" s="18"/>
      <c r="D71" s="18"/>
      <c r="E71" s="17"/>
      <c r="F71" s="18"/>
      <c r="G71" s="20"/>
      <c r="H71" s="20"/>
      <c r="I71" s="21"/>
      <c r="J71" s="17"/>
      <c r="K71" s="22"/>
      <c r="L71" s="18"/>
      <c r="M71" s="22"/>
      <c r="N71" s="20"/>
      <c r="O71" s="22"/>
      <c r="P71" s="17"/>
      <c r="Q71" s="22"/>
      <c r="R71" s="23" t="str">
        <f t="shared" si="6"/>
        <v/>
      </c>
      <c r="S71" s="24" t="str">
        <f>IF(B71="","",Calcul!$AO71-Calcul!$AP71)</f>
        <v/>
      </c>
      <c r="T71" s="24" t="str">
        <f>IF(B71="","",Calcul!$AO71)</f>
        <v/>
      </c>
      <c r="U71" s="24" t="str">
        <f t="shared" si="7"/>
        <v/>
      </c>
      <c r="V71" s="25" t="str">
        <f>IF(B71="","",IF(AND(ISNUMBER(N71),N71&lt;=EOMONTH(LunaRef,0)),"Ieșit – "&amp;IF(O71="","motiv necompletat",LOWER(O71)),IF(Calcul!$AN71=0,"Neînceput",IF(U71&lt;0.005,"Complet amortizat","În funcțiune"))))</f>
        <v/>
      </c>
      <c r="W71" s="26" t="str">
        <f t="shared" si="8"/>
        <v/>
      </c>
    </row>
    <row r="72" spans="2:23" x14ac:dyDescent="0.2">
      <c r="B72" s="17"/>
      <c r="C72" s="18"/>
      <c r="D72" s="18"/>
      <c r="E72" s="17"/>
      <c r="F72" s="18"/>
      <c r="G72" s="20"/>
      <c r="H72" s="20"/>
      <c r="I72" s="21"/>
      <c r="J72" s="17"/>
      <c r="K72" s="22"/>
      <c r="L72" s="18"/>
      <c r="M72" s="22"/>
      <c r="N72" s="20"/>
      <c r="O72" s="22"/>
      <c r="P72" s="17"/>
      <c r="Q72" s="22"/>
      <c r="R72" s="23" t="str">
        <f t="shared" si="6"/>
        <v/>
      </c>
      <c r="S72" s="24" t="str">
        <f>IF(B72="","",Calcul!$AO72-Calcul!$AP72)</f>
        <v/>
      </c>
      <c r="T72" s="24" t="str">
        <f>IF(B72="","",Calcul!$AO72)</f>
        <v/>
      </c>
      <c r="U72" s="24" t="str">
        <f t="shared" si="7"/>
        <v/>
      </c>
      <c r="V72" s="25" t="str">
        <f>IF(B72="","",IF(AND(ISNUMBER(N72),N72&lt;=EOMONTH(LunaRef,0)),"Ieșit – "&amp;IF(O72="","motiv necompletat",LOWER(O72)),IF(Calcul!$AN72=0,"Neînceput",IF(U72&lt;0.005,"Complet amortizat","În funcțiune"))))</f>
        <v/>
      </c>
      <c r="W72" s="26" t="str">
        <f t="shared" si="8"/>
        <v/>
      </c>
    </row>
    <row r="73" spans="2:23" x14ac:dyDescent="0.2">
      <c r="B73" s="17"/>
      <c r="C73" s="18"/>
      <c r="D73" s="18"/>
      <c r="E73" s="17"/>
      <c r="F73" s="18"/>
      <c r="G73" s="20"/>
      <c r="H73" s="20"/>
      <c r="I73" s="21"/>
      <c r="J73" s="17"/>
      <c r="K73" s="22"/>
      <c r="L73" s="18"/>
      <c r="M73" s="22"/>
      <c r="N73" s="20"/>
      <c r="O73" s="22"/>
      <c r="P73" s="17"/>
      <c r="Q73" s="22"/>
      <c r="R73" s="23" t="str">
        <f t="shared" si="6"/>
        <v/>
      </c>
      <c r="S73" s="24" t="str">
        <f>IF(B73="","",Calcul!$AO73-Calcul!$AP73)</f>
        <v/>
      </c>
      <c r="T73" s="24" t="str">
        <f>IF(B73="","",Calcul!$AO73)</f>
        <v/>
      </c>
      <c r="U73" s="24" t="str">
        <f t="shared" si="7"/>
        <v/>
      </c>
      <c r="V73" s="25" t="str">
        <f>IF(B73="","",IF(AND(ISNUMBER(N73),N73&lt;=EOMONTH(LunaRef,0)),"Ieșit – "&amp;IF(O73="","motiv necompletat",LOWER(O73)),IF(Calcul!$AN73=0,"Neînceput",IF(U73&lt;0.005,"Complet amortizat","În funcțiune"))))</f>
        <v/>
      </c>
      <c r="W73" s="26" t="str">
        <f t="shared" si="8"/>
        <v/>
      </c>
    </row>
    <row r="74" spans="2:23" x14ac:dyDescent="0.2">
      <c r="B74" s="17"/>
      <c r="C74" s="18"/>
      <c r="D74" s="18"/>
      <c r="E74" s="17"/>
      <c r="F74" s="18"/>
      <c r="G74" s="20"/>
      <c r="H74" s="20"/>
      <c r="I74" s="21"/>
      <c r="J74" s="17"/>
      <c r="K74" s="22"/>
      <c r="L74" s="18"/>
      <c r="M74" s="22"/>
      <c r="N74" s="20"/>
      <c r="O74" s="22"/>
      <c r="P74" s="17"/>
      <c r="Q74" s="22"/>
      <c r="R74" s="23" t="str">
        <f t="shared" si="6"/>
        <v/>
      </c>
      <c r="S74" s="24" t="str">
        <f>IF(B74="","",Calcul!$AO74-Calcul!$AP74)</f>
        <v/>
      </c>
      <c r="T74" s="24" t="str">
        <f>IF(B74="","",Calcul!$AO74)</f>
        <v/>
      </c>
      <c r="U74" s="24" t="str">
        <f t="shared" si="7"/>
        <v/>
      </c>
      <c r="V74" s="25" t="str">
        <f>IF(B74="","",IF(AND(ISNUMBER(N74),N74&lt;=EOMONTH(LunaRef,0)),"Ieșit – "&amp;IF(O74="","motiv necompletat",LOWER(O74)),IF(Calcul!$AN74=0,"Neînceput",IF(U74&lt;0.005,"Complet amortizat","În funcțiune"))))</f>
        <v/>
      </c>
      <c r="W74" s="26" t="str">
        <f t="shared" si="8"/>
        <v/>
      </c>
    </row>
    <row r="75" spans="2:23" x14ac:dyDescent="0.2">
      <c r="B75" s="17"/>
      <c r="C75" s="18"/>
      <c r="D75" s="18"/>
      <c r="E75" s="17"/>
      <c r="F75" s="18"/>
      <c r="G75" s="20"/>
      <c r="H75" s="20"/>
      <c r="I75" s="21"/>
      <c r="J75" s="17"/>
      <c r="K75" s="22"/>
      <c r="L75" s="18"/>
      <c r="M75" s="22"/>
      <c r="N75" s="20"/>
      <c r="O75" s="22"/>
      <c r="P75" s="17"/>
      <c r="Q75" s="22"/>
      <c r="R75" s="23" t="str">
        <f t="shared" si="6"/>
        <v/>
      </c>
      <c r="S75" s="24" t="str">
        <f>IF(B75="","",Calcul!$AO75-Calcul!$AP75)</f>
        <v/>
      </c>
      <c r="T75" s="24" t="str">
        <f>IF(B75="","",Calcul!$AO75)</f>
        <v/>
      </c>
      <c r="U75" s="24" t="str">
        <f t="shared" si="7"/>
        <v/>
      </c>
      <c r="V75" s="25" t="str">
        <f>IF(B75="","",IF(AND(ISNUMBER(N75),N75&lt;=EOMONTH(LunaRef,0)),"Ieșit – "&amp;IF(O75="","motiv necompletat",LOWER(O75)),IF(Calcul!$AN75=0,"Neînceput",IF(U75&lt;0.005,"Complet amortizat","În funcțiune"))))</f>
        <v/>
      </c>
      <c r="W75" s="26" t="str">
        <f t="shared" si="8"/>
        <v/>
      </c>
    </row>
    <row r="76" spans="2:23" x14ac:dyDescent="0.2">
      <c r="B76" s="17"/>
      <c r="C76" s="18"/>
      <c r="D76" s="18"/>
      <c r="E76" s="17"/>
      <c r="F76" s="18"/>
      <c r="G76" s="20"/>
      <c r="H76" s="20"/>
      <c r="I76" s="21"/>
      <c r="J76" s="17"/>
      <c r="K76" s="22"/>
      <c r="L76" s="18"/>
      <c r="M76" s="22"/>
      <c r="N76" s="20"/>
      <c r="O76" s="22"/>
      <c r="P76" s="17"/>
      <c r="Q76" s="22"/>
      <c r="R76" s="23" t="str">
        <f t="shared" si="6"/>
        <v/>
      </c>
      <c r="S76" s="24" t="str">
        <f>IF(B76="","",Calcul!$AO76-Calcul!$AP76)</f>
        <v/>
      </c>
      <c r="T76" s="24" t="str">
        <f>IF(B76="","",Calcul!$AO76)</f>
        <v/>
      </c>
      <c r="U76" s="24" t="str">
        <f t="shared" si="7"/>
        <v/>
      </c>
      <c r="V76" s="25" t="str">
        <f>IF(B76="","",IF(AND(ISNUMBER(N76),N76&lt;=EOMONTH(LunaRef,0)),"Ieșit – "&amp;IF(O76="","motiv necompletat",LOWER(O76)),IF(Calcul!$AN76=0,"Neînceput",IF(U76&lt;0.005,"Complet amortizat","În funcțiune"))))</f>
        <v/>
      </c>
      <c r="W76" s="26" t="str">
        <f t="shared" si="8"/>
        <v/>
      </c>
    </row>
    <row r="77" spans="2:23" x14ac:dyDescent="0.2">
      <c r="B77" s="17"/>
      <c r="C77" s="18"/>
      <c r="D77" s="18"/>
      <c r="E77" s="17"/>
      <c r="F77" s="18"/>
      <c r="G77" s="20"/>
      <c r="H77" s="20"/>
      <c r="I77" s="21"/>
      <c r="J77" s="17"/>
      <c r="K77" s="22"/>
      <c r="L77" s="18"/>
      <c r="M77" s="22"/>
      <c r="N77" s="20"/>
      <c r="O77" s="22"/>
      <c r="P77" s="17"/>
      <c r="Q77" s="22"/>
      <c r="R77" s="23" t="str">
        <f t="shared" si="6"/>
        <v/>
      </c>
      <c r="S77" s="24" t="str">
        <f>IF(B77="","",Calcul!$AO77-Calcul!$AP77)</f>
        <v/>
      </c>
      <c r="T77" s="24" t="str">
        <f>IF(B77="","",Calcul!$AO77)</f>
        <v/>
      </c>
      <c r="U77" s="24" t="str">
        <f t="shared" si="7"/>
        <v/>
      </c>
      <c r="V77" s="25" t="str">
        <f>IF(B77="","",IF(AND(ISNUMBER(N77),N77&lt;=EOMONTH(LunaRef,0)),"Ieșit – "&amp;IF(O77="","motiv necompletat",LOWER(O77)),IF(Calcul!$AN77=0,"Neînceput",IF(U77&lt;0.005,"Complet amortizat","În funcțiune"))))</f>
        <v/>
      </c>
      <c r="W77" s="26" t="str">
        <f t="shared" si="8"/>
        <v/>
      </c>
    </row>
    <row r="78" spans="2:23" x14ac:dyDescent="0.2">
      <c r="B78" s="17"/>
      <c r="C78" s="18"/>
      <c r="D78" s="18"/>
      <c r="E78" s="17"/>
      <c r="F78" s="18"/>
      <c r="G78" s="20"/>
      <c r="H78" s="20"/>
      <c r="I78" s="21"/>
      <c r="J78" s="17"/>
      <c r="K78" s="22"/>
      <c r="L78" s="18"/>
      <c r="M78" s="22"/>
      <c r="N78" s="20"/>
      <c r="O78" s="22"/>
      <c r="P78" s="17"/>
      <c r="Q78" s="22"/>
      <c r="R78" s="23" t="str">
        <f t="shared" si="6"/>
        <v/>
      </c>
      <c r="S78" s="24" t="str">
        <f>IF(B78="","",Calcul!$AO78-Calcul!$AP78)</f>
        <v/>
      </c>
      <c r="T78" s="24" t="str">
        <f>IF(B78="","",Calcul!$AO78)</f>
        <v/>
      </c>
      <c r="U78" s="24" t="str">
        <f t="shared" si="7"/>
        <v/>
      </c>
      <c r="V78" s="25" t="str">
        <f>IF(B78="","",IF(AND(ISNUMBER(N78),N78&lt;=EOMONTH(LunaRef,0)),"Ieșit – "&amp;IF(O78="","motiv necompletat",LOWER(O78)),IF(Calcul!$AN78=0,"Neînceput",IF(U78&lt;0.005,"Complet amortizat","În funcțiune"))))</f>
        <v/>
      </c>
      <c r="W78" s="26" t="str">
        <f t="shared" si="8"/>
        <v/>
      </c>
    </row>
    <row r="79" spans="2:23" x14ac:dyDescent="0.2">
      <c r="B79" s="17"/>
      <c r="C79" s="18"/>
      <c r="D79" s="18"/>
      <c r="E79" s="17"/>
      <c r="F79" s="18"/>
      <c r="G79" s="20"/>
      <c r="H79" s="20"/>
      <c r="I79" s="21"/>
      <c r="J79" s="17"/>
      <c r="K79" s="22"/>
      <c r="L79" s="18"/>
      <c r="M79" s="22"/>
      <c r="N79" s="20"/>
      <c r="O79" s="22"/>
      <c r="P79" s="17"/>
      <c r="Q79" s="22"/>
      <c r="R79" s="23" t="str">
        <f t="shared" si="6"/>
        <v/>
      </c>
      <c r="S79" s="24" t="str">
        <f>IF(B79="","",Calcul!$AO79-Calcul!$AP79)</f>
        <v/>
      </c>
      <c r="T79" s="24" t="str">
        <f>IF(B79="","",Calcul!$AO79)</f>
        <v/>
      </c>
      <c r="U79" s="24" t="str">
        <f t="shared" si="7"/>
        <v/>
      </c>
      <c r="V79" s="25" t="str">
        <f>IF(B79="","",IF(AND(ISNUMBER(N79),N79&lt;=EOMONTH(LunaRef,0)),"Ieșit – "&amp;IF(O79="","motiv necompletat",LOWER(O79)),IF(Calcul!$AN79=0,"Neînceput",IF(U79&lt;0.005,"Complet amortizat","În funcțiune"))))</f>
        <v/>
      </c>
      <c r="W79" s="26" t="str">
        <f t="shared" si="8"/>
        <v/>
      </c>
    </row>
    <row r="80" spans="2:23" x14ac:dyDescent="0.2">
      <c r="B80" s="17"/>
      <c r="C80" s="18"/>
      <c r="D80" s="18"/>
      <c r="E80" s="17"/>
      <c r="F80" s="18"/>
      <c r="G80" s="20"/>
      <c r="H80" s="20"/>
      <c r="I80" s="21"/>
      <c r="J80" s="17"/>
      <c r="K80" s="22"/>
      <c r="L80" s="18"/>
      <c r="M80" s="22"/>
      <c r="N80" s="20"/>
      <c r="O80" s="22"/>
      <c r="P80" s="17"/>
      <c r="Q80" s="22"/>
      <c r="R80" s="23" t="str">
        <f t="shared" si="6"/>
        <v/>
      </c>
      <c r="S80" s="24" t="str">
        <f>IF(B80="","",Calcul!$AO80-Calcul!$AP80)</f>
        <v/>
      </c>
      <c r="T80" s="24" t="str">
        <f>IF(B80="","",Calcul!$AO80)</f>
        <v/>
      </c>
      <c r="U80" s="24" t="str">
        <f t="shared" si="7"/>
        <v/>
      </c>
      <c r="V80" s="25" t="str">
        <f>IF(B80="","",IF(AND(ISNUMBER(N80),N80&lt;=EOMONTH(LunaRef,0)),"Ieșit – "&amp;IF(O80="","motiv necompletat",LOWER(O80)),IF(Calcul!$AN80=0,"Neînceput",IF(U80&lt;0.005,"Complet amortizat","În funcțiune"))))</f>
        <v/>
      </c>
      <c r="W80" s="26" t="str">
        <f t="shared" si="8"/>
        <v/>
      </c>
    </row>
    <row r="81" spans="2:23" x14ac:dyDescent="0.2">
      <c r="B81" s="17"/>
      <c r="C81" s="18"/>
      <c r="D81" s="18"/>
      <c r="E81" s="17"/>
      <c r="F81" s="18"/>
      <c r="G81" s="20"/>
      <c r="H81" s="20"/>
      <c r="I81" s="21"/>
      <c r="J81" s="17"/>
      <c r="K81" s="22"/>
      <c r="L81" s="18"/>
      <c r="M81" s="22"/>
      <c r="N81" s="20"/>
      <c r="O81" s="22"/>
      <c r="P81" s="17"/>
      <c r="Q81" s="22"/>
      <c r="R81" s="23" t="str">
        <f t="shared" si="6"/>
        <v/>
      </c>
      <c r="S81" s="24" t="str">
        <f>IF(B81="","",Calcul!$AO81-Calcul!$AP81)</f>
        <v/>
      </c>
      <c r="T81" s="24" t="str">
        <f>IF(B81="","",Calcul!$AO81)</f>
        <v/>
      </c>
      <c r="U81" s="24" t="str">
        <f t="shared" si="7"/>
        <v/>
      </c>
      <c r="V81" s="25" t="str">
        <f>IF(B81="","",IF(AND(ISNUMBER(N81),N81&lt;=EOMONTH(LunaRef,0)),"Ieșit – "&amp;IF(O81="","motiv necompletat",LOWER(O81)),IF(Calcul!$AN81=0,"Neînceput",IF(U81&lt;0.005,"Complet amortizat","În funcțiune"))))</f>
        <v/>
      </c>
      <c r="W81" s="26" t="str">
        <f t="shared" si="8"/>
        <v/>
      </c>
    </row>
    <row r="82" spans="2:23" x14ac:dyDescent="0.2">
      <c r="B82" s="17"/>
      <c r="C82" s="18"/>
      <c r="D82" s="18"/>
      <c r="E82" s="17"/>
      <c r="F82" s="18"/>
      <c r="G82" s="20"/>
      <c r="H82" s="20"/>
      <c r="I82" s="21"/>
      <c r="J82" s="17"/>
      <c r="K82" s="22"/>
      <c r="L82" s="18"/>
      <c r="M82" s="22"/>
      <c r="N82" s="20"/>
      <c r="O82" s="22"/>
      <c r="P82" s="17"/>
      <c r="Q82" s="22"/>
      <c r="R82" s="23" t="str">
        <f t="shared" si="6"/>
        <v/>
      </c>
      <c r="S82" s="24" t="str">
        <f>IF(B82="","",Calcul!$AO82-Calcul!$AP82)</f>
        <v/>
      </c>
      <c r="T82" s="24" t="str">
        <f>IF(B82="","",Calcul!$AO82)</f>
        <v/>
      </c>
      <c r="U82" s="24" t="str">
        <f t="shared" si="7"/>
        <v/>
      </c>
      <c r="V82" s="25" t="str">
        <f>IF(B82="","",IF(AND(ISNUMBER(N82),N82&lt;=EOMONTH(LunaRef,0)),"Ieșit – "&amp;IF(O82="","motiv necompletat",LOWER(O82)),IF(Calcul!$AN82=0,"Neînceput",IF(U82&lt;0.005,"Complet amortizat","În funcțiune"))))</f>
        <v/>
      </c>
      <c r="W82" s="26" t="str">
        <f t="shared" si="8"/>
        <v/>
      </c>
    </row>
    <row r="83" spans="2:23" x14ac:dyDescent="0.2">
      <c r="B83" s="17"/>
      <c r="C83" s="18"/>
      <c r="D83" s="18"/>
      <c r="E83" s="17"/>
      <c r="F83" s="18"/>
      <c r="G83" s="20"/>
      <c r="H83" s="20"/>
      <c r="I83" s="21"/>
      <c r="J83" s="17"/>
      <c r="K83" s="22"/>
      <c r="L83" s="18"/>
      <c r="M83" s="22"/>
      <c r="N83" s="20"/>
      <c r="O83" s="22"/>
      <c r="P83" s="17"/>
      <c r="Q83" s="22"/>
      <c r="R83" s="23" t="str">
        <f t="shared" si="6"/>
        <v/>
      </c>
      <c r="S83" s="24" t="str">
        <f>IF(B83="","",Calcul!$AO83-Calcul!$AP83)</f>
        <v/>
      </c>
      <c r="T83" s="24" t="str">
        <f>IF(B83="","",Calcul!$AO83)</f>
        <v/>
      </c>
      <c r="U83" s="24" t="str">
        <f t="shared" si="7"/>
        <v/>
      </c>
      <c r="V83" s="25" t="str">
        <f>IF(B83="","",IF(AND(ISNUMBER(N83),N83&lt;=EOMONTH(LunaRef,0)),"Ieșit – "&amp;IF(O83="","motiv necompletat",LOWER(O83)),IF(Calcul!$AN83=0,"Neînceput",IF(U83&lt;0.005,"Complet amortizat","În funcțiune"))))</f>
        <v/>
      </c>
      <c r="W83" s="26" t="str">
        <f t="shared" si="8"/>
        <v/>
      </c>
    </row>
    <row r="84" spans="2:23" x14ac:dyDescent="0.2">
      <c r="B84" s="17"/>
      <c r="C84" s="18"/>
      <c r="D84" s="18"/>
      <c r="E84" s="17"/>
      <c r="F84" s="18"/>
      <c r="G84" s="20"/>
      <c r="H84" s="20"/>
      <c r="I84" s="21"/>
      <c r="J84" s="17"/>
      <c r="K84" s="22"/>
      <c r="L84" s="18"/>
      <c r="M84" s="22"/>
      <c r="N84" s="20"/>
      <c r="O84" s="22"/>
      <c r="P84" s="17"/>
      <c r="Q84" s="22"/>
      <c r="R84" s="23" t="str">
        <f t="shared" si="6"/>
        <v/>
      </c>
      <c r="S84" s="24" t="str">
        <f>IF(B84="","",Calcul!$AO84-Calcul!$AP84)</f>
        <v/>
      </c>
      <c r="T84" s="24" t="str">
        <f>IF(B84="","",Calcul!$AO84)</f>
        <v/>
      </c>
      <c r="U84" s="24" t="str">
        <f t="shared" si="7"/>
        <v/>
      </c>
      <c r="V84" s="25" t="str">
        <f>IF(B84="","",IF(AND(ISNUMBER(N84),N84&lt;=EOMONTH(LunaRef,0)),"Ieșit – "&amp;IF(O84="","motiv necompletat",LOWER(O84)),IF(Calcul!$AN84=0,"Neînceput",IF(U84&lt;0.005,"Complet amortizat","În funcțiune"))))</f>
        <v/>
      </c>
      <c r="W84" s="26" t="str">
        <f t="shared" si="8"/>
        <v/>
      </c>
    </row>
    <row r="85" spans="2:23" x14ac:dyDescent="0.2">
      <c r="B85" s="17"/>
      <c r="C85" s="18"/>
      <c r="D85" s="18"/>
      <c r="E85" s="17"/>
      <c r="F85" s="18"/>
      <c r="G85" s="20"/>
      <c r="H85" s="20"/>
      <c r="I85" s="21"/>
      <c r="J85" s="17"/>
      <c r="K85" s="22"/>
      <c r="L85" s="18"/>
      <c r="M85" s="22"/>
      <c r="N85" s="20"/>
      <c r="O85" s="22"/>
      <c r="P85" s="17"/>
      <c r="Q85" s="22"/>
      <c r="R85" s="23" t="str">
        <f t="shared" si="6"/>
        <v/>
      </c>
      <c r="S85" s="24" t="str">
        <f>IF(B85="","",Calcul!$AO85-Calcul!$AP85)</f>
        <v/>
      </c>
      <c r="T85" s="24" t="str">
        <f>IF(B85="","",Calcul!$AO85)</f>
        <v/>
      </c>
      <c r="U85" s="24" t="str">
        <f t="shared" si="7"/>
        <v/>
      </c>
      <c r="V85" s="25" t="str">
        <f>IF(B85="","",IF(AND(ISNUMBER(N85),N85&lt;=EOMONTH(LunaRef,0)),"Ieșit – "&amp;IF(O85="","motiv necompletat",LOWER(O85)),IF(Calcul!$AN85=0,"Neînceput",IF(U85&lt;0.005,"Complet amortizat","În funcțiune"))))</f>
        <v/>
      </c>
      <c r="W85" s="26" t="str">
        <f t="shared" si="8"/>
        <v/>
      </c>
    </row>
    <row r="86" spans="2:23" x14ac:dyDescent="0.2">
      <c r="B86" s="17"/>
      <c r="C86" s="18"/>
      <c r="D86" s="18"/>
      <c r="E86" s="17"/>
      <c r="F86" s="18"/>
      <c r="G86" s="20"/>
      <c r="H86" s="20"/>
      <c r="I86" s="21"/>
      <c r="J86" s="17"/>
      <c r="K86" s="22"/>
      <c r="L86" s="18"/>
      <c r="M86" s="22"/>
      <c r="N86" s="20"/>
      <c r="O86" s="22"/>
      <c r="P86" s="17"/>
      <c r="Q86" s="22"/>
      <c r="R86" s="23" t="str">
        <f t="shared" si="6"/>
        <v/>
      </c>
      <c r="S86" s="24" t="str">
        <f>IF(B86="","",Calcul!$AO86-Calcul!$AP86)</f>
        <v/>
      </c>
      <c r="T86" s="24" t="str">
        <f>IF(B86="","",Calcul!$AO86)</f>
        <v/>
      </c>
      <c r="U86" s="24" t="str">
        <f t="shared" si="7"/>
        <v/>
      </c>
      <c r="V86" s="25" t="str">
        <f>IF(B86="","",IF(AND(ISNUMBER(N86),N86&lt;=EOMONTH(LunaRef,0)),"Ieșit – "&amp;IF(O86="","motiv necompletat",LOWER(O86)),IF(Calcul!$AN86=0,"Neînceput",IF(U86&lt;0.005,"Complet amortizat","În funcțiune"))))</f>
        <v/>
      </c>
      <c r="W86" s="26" t="str">
        <f t="shared" si="8"/>
        <v/>
      </c>
    </row>
    <row r="87" spans="2:23" x14ac:dyDescent="0.2">
      <c r="B87" s="17"/>
      <c r="C87" s="18"/>
      <c r="D87" s="18"/>
      <c r="E87" s="17"/>
      <c r="F87" s="18"/>
      <c r="G87" s="20"/>
      <c r="H87" s="20"/>
      <c r="I87" s="21"/>
      <c r="J87" s="17"/>
      <c r="K87" s="22"/>
      <c r="L87" s="18"/>
      <c r="M87" s="22"/>
      <c r="N87" s="20"/>
      <c r="O87" s="22"/>
      <c r="P87" s="17"/>
      <c r="Q87" s="22"/>
      <c r="R87" s="23" t="str">
        <f t="shared" si="6"/>
        <v/>
      </c>
      <c r="S87" s="24" t="str">
        <f>IF(B87="","",Calcul!$AO87-Calcul!$AP87)</f>
        <v/>
      </c>
      <c r="T87" s="24" t="str">
        <f>IF(B87="","",Calcul!$AO87)</f>
        <v/>
      </c>
      <c r="U87" s="24" t="str">
        <f t="shared" si="7"/>
        <v/>
      </c>
      <c r="V87" s="25" t="str">
        <f>IF(B87="","",IF(AND(ISNUMBER(N87),N87&lt;=EOMONTH(LunaRef,0)),"Ieșit – "&amp;IF(O87="","motiv necompletat",LOWER(O87)),IF(Calcul!$AN87=0,"Neînceput",IF(U87&lt;0.005,"Complet amortizat","În funcțiune"))))</f>
        <v/>
      </c>
      <c r="W87" s="26" t="str">
        <f t="shared" si="8"/>
        <v/>
      </c>
    </row>
    <row r="88" spans="2:23" x14ac:dyDescent="0.2">
      <c r="B88" s="17"/>
      <c r="C88" s="18"/>
      <c r="D88" s="18"/>
      <c r="E88" s="17"/>
      <c r="F88" s="18"/>
      <c r="G88" s="20"/>
      <c r="H88" s="20"/>
      <c r="I88" s="21"/>
      <c r="J88" s="17"/>
      <c r="K88" s="22"/>
      <c r="L88" s="18"/>
      <c r="M88" s="22"/>
      <c r="N88" s="20"/>
      <c r="O88" s="22"/>
      <c r="P88" s="17"/>
      <c r="Q88" s="22"/>
      <c r="R88" s="23" t="str">
        <f t="shared" si="6"/>
        <v/>
      </c>
      <c r="S88" s="24" t="str">
        <f>IF(B88="","",Calcul!$AO88-Calcul!$AP88)</f>
        <v/>
      </c>
      <c r="T88" s="24" t="str">
        <f>IF(B88="","",Calcul!$AO88)</f>
        <v/>
      </c>
      <c r="U88" s="24" t="str">
        <f t="shared" si="7"/>
        <v/>
      </c>
      <c r="V88" s="25" t="str">
        <f>IF(B88="","",IF(AND(ISNUMBER(N88),N88&lt;=EOMONTH(LunaRef,0)),"Ieșit – "&amp;IF(O88="","motiv necompletat",LOWER(O88)),IF(Calcul!$AN88=0,"Neînceput",IF(U88&lt;0.005,"Complet amortizat","În funcțiune"))))</f>
        <v/>
      </c>
      <c r="W88" s="26" t="str">
        <f t="shared" si="8"/>
        <v/>
      </c>
    </row>
    <row r="89" spans="2:23" x14ac:dyDescent="0.2">
      <c r="B89" s="17"/>
      <c r="C89" s="18"/>
      <c r="D89" s="18"/>
      <c r="E89" s="17"/>
      <c r="F89" s="18"/>
      <c r="G89" s="20"/>
      <c r="H89" s="20"/>
      <c r="I89" s="21"/>
      <c r="J89" s="17"/>
      <c r="K89" s="22"/>
      <c r="L89" s="18"/>
      <c r="M89" s="22"/>
      <c r="N89" s="20"/>
      <c r="O89" s="22"/>
      <c r="P89" s="17"/>
      <c r="Q89" s="22"/>
      <c r="R89" s="23" t="str">
        <f t="shared" si="6"/>
        <v/>
      </c>
      <c r="S89" s="24" t="str">
        <f>IF(B89="","",Calcul!$AO89-Calcul!$AP89)</f>
        <v/>
      </c>
      <c r="T89" s="24" t="str">
        <f>IF(B89="","",Calcul!$AO89)</f>
        <v/>
      </c>
      <c r="U89" s="24" t="str">
        <f t="shared" si="7"/>
        <v/>
      </c>
      <c r="V89" s="25" t="str">
        <f>IF(B89="","",IF(AND(ISNUMBER(N89),N89&lt;=EOMONTH(LunaRef,0)),"Ieșit – "&amp;IF(O89="","motiv necompletat",LOWER(O89)),IF(Calcul!$AN89=0,"Neînceput",IF(U89&lt;0.005,"Complet amortizat","În funcțiune"))))</f>
        <v/>
      </c>
      <c r="W89" s="26" t="str">
        <f t="shared" si="8"/>
        <v/>
      </c>
    </row>
    <row r="90" spans="2:23" x14ac:dyDescent="0.2">
      <c r="B90" s="17"/>
      <c r="C90" s="18"/>
      <c r="D90" s="18"/>
      <c r="E90" s="17"/>
      <c r="F90" s="18"/>
      <c r="G90" s="20"/>
      <c r="H90" s="20"/>
      <c r="I90" s="21"/>
      <c r="J90" s="17"/>
      <c r="K90" s="22"/>
      <c r="L90" s="18"/>
      <c r="M90" s="22"/>
      <c r="N90" s="20"/>
      <c r="O90" s="22"/>
      <c r="P90" s="17"/>
      <c r="Q90" s="22"/>
      <c r="R90" s="23" t="str">
        <f t="shared" si="6"/>
        <v/>
      </c>
      <c r="S90" s="24" t="str">
        <f>IF(B90="","",Calcul!$AO90-Calcul!$AP90)</f>
        <v/>
      </c>
      <c r="T90" s="24" t="str">
        <f>IF(B90="","",Calcul!$AO90)</f>
        <v/>
      </c>
      <c r="U90" s="24" t="str">
        <f t="shared" si="7"/>
        <v/>
      </c>
      <c r="V90" s="25" t="str">
        <f>IF(B90="","",IF(AND(ISNUMBER(N90),N90&lt;=EOMONTH(LunaRef,0)),"Ieșit – "&amp;IF(O90="","motiv necompletat",LOWER(O90)),IF(Calcul!$AN90=0,"Neînceput",IF(U90&lt;0.005,"Complet amortizat","În funcțiune"))))</f>
        <v/>
      </c>
      <c r="W90" s="26" t="str">
        <f t="shared" si="8"/>
        <v/>
      </c>
    </row>
    <row r="91" spans="2:23" x14ac:dyDescent="0.2">
      <c r="B91" s="17"/>
      <c r="C91" s="18"/>
      <c r="D91" s="18"/>
      <c r="E91" s="17"/>
      <c r="F91" s="18"/>
      <c r="G91" s="20"/>
      <c r="H91" s="20"/>
      <c r="I91" s="21"/>
      <c r="J91" s="17"/>
      <c r="K91" s="22"/>
      <c r="L91" s="18"/>
      <c r="M91" s="22"/>
      <c r="N91" s="20"/>
      <c r="O91" s="22"/>
      <c r="P91" s="17"/>
      <c r="Q91" s="22"/>
      <c r="R91" s="23" t="str">
        <f t="shared" si="6"/>
        <v/>
      </c>
      <c r="S91" s="24" t="str">
        <f>IF(B91="","",Calcul!$AO91-Calcul!$AP91)</f>
        <v/>
      </c>
      <c r="T91" s="24" t="str">
        <f>IF(B91="","",Calcul!$AO91)</f>
        <v/>
      </c>
      <c r="U91" s="24" t="str">
        <f t="shared" si="7"/>
        <v/>
      </c>
      <c r="V91" s="25" t="str">
        <f>IF(B91="","",IF(AND(ISNUMBER(N91),N91&lt;=EOMONTH(LunaRef,0)),"Ieșit – "&amp;IF(O91="","motiv necompletat",LOWER(O91)),IF(Calcul!$AN91=0,"Neînceput",IF(U91&lt;0.005,"Complet amortizat","În funcțiune"))))</f>
        <v/>
      </c>
      <c r="W91" s="26" t="str">
        <f t="shared" si="8"/>
        <v/>
      </c>
    </row>
    <row r="92" spans="2:23" x14ac:dyDescent="0.2">
      <c r="B92" s="17"/>
      <c r="C92" s="18"/>
      <c r="D92" s="18"/>
      <c r="E92" s="17"/>
      <c r="F92" s="18"/>
      <c r="G92" s="20"/>
      <c r="H92" s="20"/>
      <c r="I92" s="21"/>
      <c r="J92" s="17"/>
      <c r="K92" s="22"/>
      <c r="L92" s="18"/>
      <c r="M92" s="22"/>
      <c r="N92" s="20"/>
      <c r="O92" s="22"/>
      <c r="P92" s="17"/>
      <c r="Q92" s="22"/>
      <c r="R92" s="23" t="str">
        <f t="shared" si="6"/>
        <v/>
      </c>
      <c r="S92" s="24" t="str">
        <f>IF(B92="","",Calcul!$AO92-Calcul!$AP92)</f>
        <v/>
      </c>
      <c r="T92" s="24" t="str">
        <f>IF(B92="","",Calcul!$AO92)</f>
        <v/>
      </c>
      <c r="U92" s="24" t="str">
        <f t="shared" si="7"/>
        <v/>
      </c>
      <c r="V92" s="25" t="str">
        <f>IF(B92="","",IF(AND(ISNUMBER(N92),N92&lt;=EOMONTH(LunaRef,0)),"Ieșit – "&amp;IF(O92="","motiv necompletat",LOWER(O92)),IF(Calcul!$AN92=0,"Neînceput",IF(U92&lt;0.005,"Complet amortizat","În funcțiune"))))</f>
        <v/>
      </c>
      <c r="W92" s="26" t="str">
        <f t="shared" si="8"/>
        <v/>
      </c>
    </row>
    <row r="93" spans="2:23" x14ac:dyDescent="0.2">
      <c r="B93" s="17"/>
      <c r="C93" s="18"/>
      <c r="D93" s="18"/>
      <c r="E93" s="17"/>
      <c r="F93" s="18"/>
      <c r="G93" s="20"/>
      <c r="H93" s="20"/>
      <c r="I93" s="21"/>
      <c r="J93" s="17"/>
      <c r="K93" s="22"/>
      <c r="L93" s="18"/>
      <c r="M93" s="22"/>
      <c r="N93" s="20"/>
      <c r="O93" s="22"/>
      <c r="P93" s="17"/>
      <c r="Q93" s="22"/>
      <c r="R93" s="23" t="str">
        <f t="shared" si="6"/>
        <v/>
      </c>
      <c r="S93" s="24" t="str">
        <f>IF(B93="","",Calcul!$AO93-Calcul!$AP93)</f>
        <v/>
      </c>
      <c r="T93" s="24" t="str">
        <f>IF(B93="","",Calcul!$AO93)</f>
        <v/>
      </c>
      <c r="U93" s="24" t="str">
        <f t="shared" si="7"/>
        <v/>
      </c>
      <c r="V93" s="25" t="str">
        <f>IF(B93="","",IF(AND(ISNUMBER(N93),N93&lt;=EOMONTH(LunaRef,0)),"Ieșit – "&amp;IF(O93="","motiv necompletat",LOWER(O93)),IF(Calcul!$AN93=0,"Neînceput",IF(U93&lt;0.005,"Complet amortizat","În funcțiune"))))</f>
        <v/>
      </c>
      <c r="W93" s="26" t="str">
        <f t="shared" si="8"/>
        <v/>
      </c>
    </row>
    <row r="94" spans="2:23" x14ac:dyDescent="0.2">
      <c r="B94" s="17"/>
      <c r="C94" s="18"/>
      <c r="D94" s="18"/>
      <c r="E94" s="17"/>
      <c r="F94" s="18"/>
      <c r="G94" s="20"/>
      <c r="H94" s="20"/>
      <c r="I94" s="21"/>
      <c r="J94" s="17"/>
      <c r="K94" s="22"/>
      <c r="L94" s="18"/>
      <c r="M94" s="22"/>
      <c r="N94" s="20"/>
      <c r="O94" s="22"/>
      <c r="P94" s="17"/>
      <c r="Q94" s="22"/>
      <c r="R94" s="23" t="str">
        <f t="shared" si="6"/>
        <v/>
      </c>
      <c r="S94" s="24" t="str">
        <f>IF(B94="","",Calcul!$AO94-Calcul!$AP94)</f>
        <v/>
      </c>
      <c r="T94" s="24" t="str">
        <f>IF(B94="","",Calcul!$AO94)</f>
        <v/>
      </c>
      <c r="U94" s="24" t="str">
        <f t="shared" si="7"/>
        <v/>
      </c>
      <c r="V94" s="25" t="str">
        <f>IF(B94="","",IF(AND(ISNUMBER(N94),N94&lt;=EOMONTH(LunaRef,0)),"Ieșit – "&amp;IF(O94="","motiv necompletat",LOWER(O94)),IF(Calcul!$AN94=0,"Neînceput",IF(U94&lt;0.005,"Complet amortizat","În funcțiune"))))</f>
        <v/>
      </c>
      <c r="W94" s="26" t="str">
        <f t="shared" si="8"/>
        <v/>
      </c>
    </row>
    <row r="95" spans="2:23" x14ac:dyDescent="0.2">
      <c r="B95" s="17"/>
      <c r="C95" s="18"/>
      <c r="D95" s="18"/>
      <c r="E95" s="17"/>
      <c r="F95" s="18"/>
      <c r="G95" s="20"/>
      <c r="H95" s="20"/>
      <c r="I95" s="21"/>
      <c r="J95" s="17"/>
      <c r="K95" s="22"/>
      <c r="L95" s="18"/>
      <c r="M95" s="22"/>
      <c r="N95" s="20"/>
      <c r="O95" s="22"/>
      <c r="P95" s="17"/>
      <c r="Q95" s="22"/>
      <c r="R95" s="23" t="str">
        <f t="shared" si="6"/>
        <v/>
      </c>
      <c r="S95" s="24" t="str">
        <f>IF(B95="","",Calcul!$AO95-Calcul!$AP95)</f>
        <v/>
      </c>
      <c r="T95" s="24" t="str">
        <f>IF(B95="","",Calcul!$AO95)</f>
        <v/>
      </c>
      <c r="U95" s="24" t="str">
        <f t="shared" si="7"/>
        <v/>
      </c>
      <c r="V95" s="25" t="str">
        <f>IF(B95="","",IF(AND(ISNUMBER(N95),N95&lt;=EOMONTH(LunaRef,0)),"Ieșit – "&amp;IF(O95="","motiv necompletat",LOWER(O95)),IF(Calcul!$AN95=0,"Neînceput",IF(U95&lt;0.005,"Complet amortizat","În funcțiune"))))</f>
        <v/>
      </c>
      <c r="W95" s="26" t="str">
        <f t="shared" si="8"/>
        <v/>
      </c>
    </row>
    <row r="96" spans="2:23" x14ac:dyDescent="0.2">
      <c r="B96" s="17"/>
      <c r="C96" s="18"/>
      <c r="D96" s="18"/>
      <c r="E96" s="17"/>
      <c r="F96" s="18"/>
      <c r="G96" s="20"/>
      <c r="H96" s="20"/>
      <c r="I96" s="21"/>
      <c r="J96" s="17"/>
      <c r="K96" s="22"/>
      <c r="L96" s="18"/>
      <c r="M96" s="22"/>
      <c r="N96" s="20"/>
      <c r="O96" s="22"/>
      <c r="P96" s="17"/>
      <c r="Q96" s="22"/>
      <c r="R96" s="23" t="str">
        <f t="shared" si="6"/>
        <v/>
      </c>
      <c r="S96" s="24" t="str">
        <f>IF(B96="","",Calcul!$AO96-Calcul!$AP96)</f>
        <v/>
      </c>
      <c r="T96" s="24" t="str">
        <f>IF(B96="","",Calcul!$AO96)</f>
        <v/>
      </c>
      <c r="U96" s="24" t="str">
        <f t="shared" si="7"/>
        <v/>
      </c>
      <c r="V96" s="25" t="str">
        <f>IF(B96="","",IF(AND(ISNUMBER(N96),N96&lt;=EOMONTH(LunaRef,0)),"Ieșit – "&amp;IF(O96="","motiv necompletat",LOWER(O96)),IF(Calcul!$AN96=0,"Neînceput",IF(U96&lt;0.005,"Complet amortizat","În funcțiune"))))</f>
        <v/>
      </c>
      <c r="W96" s="26" t="str">
        <f t="shared" si="8"/>
        <v/>
      </c>
    </row>
    <row r="97" spans="2:23" x14ac:dyDescent="0.2">
      <c r="B97" s="17"/>
      <c r="C97" s="18"/>
      <c r="D97" s="18"/>
      <c r="E97" s="17"/>
      <c r="F97" s="18"/>
      <c r="G97" s="20"/>
      <c r="H97" s="20"/>
      <c r="I97" s="21"/>
      <c r="J97" s="17"/>
      <c r="K97" s="22"/>
      <c r="L97" s="18"/>
      <c r="M97" s="22"/>
      <c r="N97" s="20"/>
      <c r="O97" s="22"/>
      <c r="P97" s="17"/>
      <c r="Q97" s="22"/>
      <c r="R97" s="23" t="str">
        <f t="shared" si="6"/>
        <v/>
      </c>
      <c r="S97" s="24" t="str">
        <f>IF(B97="","",Calcul!$AO97-Calcul!$AP97)</f>
        <v/>
      </c>
      <c r="T97" s="24" t="str">
        <f>IF(B97="","",Calcul!$AO97)</f>
        <v/>
      </c>
      <c r="U97" s="24" t="str">
        <f t="shared" si="7"/>
        <v/>
      </c>
      <c r="V97" s="25" t="str">
        <f>IF(B97="","",IF(AND(ISNUMBER(N97),N97&lt;=EOMONTH(LunaRef,0)),"Ieșit – "&amp;IF(O97="","motiv necompletat",LOWER(O97)),IF(Calcul!$AN97=0,"Neînceput",IF(U97&lt;0.005,"Complet amortizat","În funcțiune"))))</f>
        <v/>
      </c>
      <c r="W97" s="26" t="str">
        <f t="shared" si="8"/>
        <v/>
      </c>
    </row>
    <row r="98" spans="2:23" x14ac:dyDescent="0.2">
      <c r="B98" s="17"/>
      <c r="C98" s="18"/>
      <c r="D98" s="18"/>
      <c r="E98" s="17"/>
      <c r="F98" s="18"/>
      <c r="G98" s="20"/>
      <c r="H98" s="20"/>
      <c r="I98" s="21"/>
      <c r="J98" s="17"/>
      <c r="K98" s="22"/>
      <c r="L98" s="18"/>
      <c r="M98" s="22"/>
      <c r="N98" s="20"/>
      <c r="O98" s="22"/>
      <c r="P98" s="17"/>
      <c r="Q98" s="22"/>
      <c r="R98" s="23" t="str">
        <f t="shared" si="6"/>
        <v/>
      </c>
      <c r="S98" s="24" t="str">
        <f>IF(B98="","",Calcul!$AO98-Calcul!$AP98)</f>
        <v/>
      </c>
      <c r="T98" s="24" t="str">
        <f>IF(B98="","",Calcul!$AO98)</f>
        <v/>
      </c>
      <c r="U98" s="24" t="str">
        <f t="shared" si="7"/>
        <v/>
      </c>
      <c r="V98" s="25" t="str">
        <f>IF(B98="","",IF(AND(ISNUMBER(N98),N98&lt;=EOMONTH(LunaRef,0)),"Ieșit – "&amp;IF(O98="","motiv necompletat",LOWER(O98)),IF(Calcul!$AN98=0,"Neînceput",IF(U98&lt;0.005,"Complet amortizat","În funcțiune"))))</f>
        <v/>
      </c>
      <c r="W98" s="26" t="str">
        <f t="shared" si="8"/>
        <v/>
      </c>
    </row>
    <row r="99" spans="2:23" x14ac:dyDescent="0.2">
      <c r="B99" s="17"/>
      <c r="C99" s="18"/>
      <c r="D99" s="18"/>
      <c r="E99" s="17"/>
      <c r="F99" s="18"/>
      <c r="G99" s="20"/>
      <c r="H99" s="20"/>
      <c r="I99" s="21"/>
      <c r="J99" s="17"/>
      <c r="K99" s="22"/>
      <c r="L99" s="18"/>
      <c r="M99" s="22"/>
      <c r="N99" s="20"/>
      <c r="O99" s="22"/>
      <c r="P99" s="17"/>
      <c r="Q99" s="22"/>
      <c r="R99" s="23" t="str">
        <f t="shared" si="6"/>
        <v/>
      </c>
      <c r="S99" s="24" t="str">
        <f>IF(B99="","",Calcul!$AO99-Calcul!$AP99)</f>
        <v/>
      </c>
      <c r="T99" s="24" t="str">
        <f>IF(B99="","",Calcul!$AO99)</f>
        <v/>
      </c>
      <c r="U99" s="24" t="str">
        <f t="shared" si="7"/>
        <v/>
      </c>
      <c r="V99" s="25" t="str">
        <f>IF(B99="","",IF(AND(ISNUMBER(N99),N99&lt;=EOMONTH(LunaRef,0)),"Ieșit – "&amp;IF(O99="","motiv necompletat",LOWER(O99)),IF(Calcul!$AN99=0,"Neînceput",IF(U99&lt;0.005,"Complet amortizat","În funcțiune"))))</f>
        <v/>
      </c>
      <c r="W99" s="26" t="str">
        <f t="shared" si="8"/>
        <v/>
      </c>
    </row>
    <row r="100" spans="2:23" x14ac:dyDescent="0.2">
      <c r="B100" s="17"/>
      <c r="C100" s="18"/>
      <c r="D100" s="18"/>
      <c r="E100" s="17"/>
      <c r="F100" s="18"/>
      <c r="G100" s="20"/>
      <c r="H100" s="20"/>
      <c r="I100" s="21"/>
      <c r="J100" s="17"/>
      <c r="K100" s="22"/>
      <c r="L100" s="18"/>
      <c r="M100" s="22"/>
      <c r="N100" s="20"/>
      <c r="O100" s="22"/>
      <c r="P100" s="17"/>
      <c r="Q100" s="22"/>
      <c r="R100" s="23" t="str">
        <f t="shared" si="6"/>
        <v/>
      </c>
      <c r="S100" s="24" t="str">
        <f>IF(B100="","",Calcul!$AO100-Calcul!$AP100)</f>
        <v/>
      </c>
      <c r="T100" s="24" t="str">
        <f>IF(B100="","",Calcul!$AO100)</f>
        <v/>
      </c>
      <c r="U100" s="24" t="str">
        <f t="shared" si="7"/>
        <v/>
      </c>
      <c r="V100" s="25" t="str">
        <f>IF(B100="","",IF(AND(ISNUMBER(N100),N100&lt;=EOMONTH(LunaRef,0)),"Ieșit – "&amp;IF(O100="","motiv necompletat",LOWER(O100)),IF(Calcul!$AN100=0,"Neînceput",IF(U100&lt;0.005,"Complet amortizat","În funcțiune"))))</f>
        <v/>
      </c>
      <c r="W100" s="26" t="str">
        <f t="shared" si="8"/>
        <v/>
      </c>
    </row>
    <row r="101" spans="2:23" x14ac:dyDescent="0.2">
      <c r="B101" s="17"/>
      <c r="C101" s="18"/>
      <c r="D101" s="18"/>
      <c r="E101" s="17"/>
      <c r="F101" s="18"/>
      <c r="G101" s="20"/>
      <c r="H101" s="20"/>
      <c r="I101" s="21"/>
      <c r="J101" s="17"/>
      <c r="K101" s="22"/>
      <c r="L101" s="18"/>
      <c r="M101" s="22"/>
      <c r="N101" s="20"/>
      <c r="O101" s="22"/>
      <c r="P101" s="17"/>
      <c r="Q101" s="22"/>
      <c r="R101" s="23" t="str">
        <f t="shared" si="6"/>
        <v/>
      </c>
      <c r="S101" s="24" t="str">
        <f>IF(B101="","",Calcul!$AO101-Calcul!$AP101)</f>
        <v/>
      </c>
      <c r="T101" s="24" t="str">
        <f>IF(B101="","",Calcul!$AO101)</f>
        <v/>
      </c>
      <c r="U101" s="24" t="str">
        <f t="shared" ref="U101:U104" si="9">IF(B101="","",N(I101)-T101)</f>
        <v/>
      </c>
      <c r="V101" s="25" t="str">
        <f>IF(B101="","",IF(AND(ISNUMBER(N101),N101&lt;=EOMONTH(LunaRef,0)),"Ieșit – "&amp;IF(O101="","motiv necompletat",LOWER(O101)),IF(Calcul!$AN101=0,"Neînceput",IF(U101&lt;0.005,"Complet amortizat","În funcțiune"))))</f>
        <v/>
      </c>
      <c r="W101" s="26" t="str">
        <f t="shared" ref="W101:W132" si="10">IF(B101="","",TRIM(IF(COUNTIF($B$5:$B$104,B101)&gt;1,"Nr. de inventar dublat. ","")&amp;IF(OR(C101="",D101="",NOT(ISNUMBER(H101)),N(I101)&lt;=0,N(J101)&lt;=0,K101=""),"Date incomplete. ","")&amp;IF(AND(N(I101)&gt;0,I101&lt;PlafonMF),"Sub "&amp;TEXT(PlafonMF,"#.##0")&amp;" lei: poate fi obiect de inventar. ","")&amp;IF(AND(D101&lt;&gt;"",K101&lt;&gt;""),IF(IFERROR(IF(K101="Liniară",TRUE,IF(K101="Degresivă",VLOOKUP(D101,TabelGrupe,4,FALSE)="Da",IF(K101="Accelerată",VLOOKUP(D101,TabelGrupe,5,FALSE)="Da",IF(K101="Superaccelerată (2026)",AND(VLOOKUP(D101,TabelGrupe,6,FALSE)="Da",YEAR(H101)=2026),FALSE)))),FALSE),"","Metoda nu este permisă pentru această grupă. "),"")&amp;IF(AND(K101&lt;&gt;"Liniară",N(J101)&gt;30),"Peste 30 de ani: folosește metoda liniară. ","")&amp;IF(AND(ISNUMBER(G101),ISNUMBER(H101),H101&lt;G101),"Pus în funcțiune înainte de intrare. ","")&amp;IF(AND(V101="Complet amortizat",P101&lt;&gt;"Nu"),"Complet amortizat: verifică dacă mai este folosit. ","")&amp;IF(AND(ISNUMBER(N101),O101=""),"Lipsește motivul ieșirii. ","")&amp;IF(AND(P101="Nu",NOT(ISNUMBER(N101))),"Negăsit la inventar: întocmește proces-verbal. ","")&amp;IF(AND(Q101="Neutilizată",NOT(ISNUMBER(N101))),"Neutilizat: analizează casarea sau vânzarea. ","")))</f>
        <v/>
      </c>
    </row>
    <row r="102" spans="2:23" x14ac:dyDescent="0.2">
      <c r="B102" s="17"/>
      <c r="C102" s="18"/>
      <c r="D102" s="18"/>
      <c r="E102" s="17"/>
      <c r="F102" s="18"/>
      <c r="G102" s="20"/>
      <c r="H102" s="20"/>
      <c r="I102" s="21"/>
      <c r="J102" s="17"/>
      <c r="K102" s="22"/>
      <c r="L102" s="18"/>
      <c r="M102" s="22"/>
      <c r="N102" s="20"/>
      <c r="O102" s="22"/>
      <c r="P102" s="17"/>
      <c r="Q102" s="22"/>
      <c r="R102" s="23" t="str">
        <f t="shared" si="6"/>
        <v/>
      </c>
      <c r="S102" s="24" t="str">
        <f>IF(B102="","",Calcul!$AO102-Calcul!$AP102)</f>
        <v/>
      </c>
      <c r="T102" s="24" t="str">
        <f>IF(B102="","",Calcul!$AO102)</f>
        <v/>
      </c>
      <c r="U102" s="24" t="str">
        <f t="shared" si="9"/>
        <v/>
      </c>
      <c r="V102" s="25" t="str">
        <f>IF(B102="","",IF(AND(ISNUMBER(N102),N102&lt;=EOMONTH(LunaRef,0)),"Ieșit – "&amp;IF(O102="","motiv necompletat",LOWER(O102)),IF(Calcul!$AN102=0,"Neînceput",IF(U102&lt;0.005,"Complet amortizat","În funcțiune"))))</f>
        <v/>
      </c>
      <c r="W102" s="26" t="str">
        <f t="shared" si="10"/>
        <v/>
      </c>
    </row>
    <row r="103" spans="2:23" x14ac:dyDescent="0.2">
      <c r="B103" s="17"/>
      <c r="C103" s="18"/>
      <c r="D103" s="18"/>
      <c r="E103" s="17"/>
      <c r="F103" s="18"/>
      <c r="G103" s="20"/>
      <c r="H103" s="20"/>
      <c r="I103" s="21"/>
      <c r="J103" s="17"/>
      <c r="K103" s="22"/>
      <c r="L103" s="18"/>
      <c r="M103" s="22"/>
      <c r="N103" s="20"/>
      <c r="O103" s="22"/>
      <c r="P103" s="17"/>
      <c r="Q103" s="22"/>
      <c r="R103" s="23" t="str">
        <f t="shared" si="6"/>
        <v/>
      </c>
      <c r="S103" s="24" t="str">
        <f>IF(B103="","",Calcul!$AO103-Calcul!$AP103)</f>
        <v/>
      </c>
      <c r="T103" s="24" t="str">
        <f>IF(B103="","",Calcul!$AO103)</f>
        <v/>
      </c>
      <c r="U103" s="24" t="str">
        <f t="shared" si="9"/>
        <v/>
      </c>
      <c r="V103" s="25" t="str">
        <f>IF(B103="","",IF(AND(ISNUMBER(N103),N103&lt;=EOMONTH(LunaRef,0)),"Ieșit – "&amp;IF(O103="","motiv necompletat",LOWER(O103)),IF(Calcul!$AN103=0,"Neînceput",IF(U103&lt;0.005,"Complet amortizat","În funcțiune"))))</f>
        <v/>
      </c>
      <c r="W103" s="26" t="str">
        <f t="shared" si="10"/>
        <v/>
      </c>
    </row>
    <row r="104" spans="2:23" x14ac:dyDescent="0.2">
      <c r="B104" s="17"/>
      <c r="C104" s="18"/>
      <c r="D104" s="18"/>
      <c r="E104" s="17"/>
      <c r="F104" s="18"/>
      <c r="G104" s="20"/>
      <c r="H104" s="20"/>
      <c r="I104" s="21"/>
      <c r="J104" s="17"/>
      <c r="K104" s="22"/>
      <c r="L104" s="18"/>
      <c r="M104" s="22"/>
      <c r="N104" s="20"/>
      <c r="O104" s="22"/>
      <c r="P104" s="17"/>
      <c r="Q104" s="22"/>
      <c r="R104" s="23" t="str">
        <f t="shared" si="6"/>
        <v/>
      </c>
      <c r="S104" s="24" t="str">
        <f>IF(B104="","",Calcul!$AO104-Calcul!$AP104)</f>
        <v/>
      </c>
      <c r="T104" s="24" t="str">
        <f>IF(B104="","",Calcul!$AO104)</f>
        <v/>
      </c>
      <c r="U104" s="24" t="str">
        <f t="shared" si="9"/>
        <v/>
      </c>
      <c r="V104" s="25" t="str">
        <f>IF(B104="","",IF(AND(ISNUMBER(N104),N104&lt;=EOMONTH(LunaRef,0)),"Ieșit – "&amp;IF(O104="","motiv necompletat",LOWER(O104)),IF(Calcul!$AN104=0,"Neînceput",IF(U104&lt;0.005,"Complet amortizat","În funcțiune"))))</f>
        <v/>
      </c>
      <c r="W104" s="26" t="str">
        <f t="shared" si="10"/>
        <v/>
      </c>
    </row>
    <row r="1000" spans="702:702" ht="15" x14ac:dyDescent="0.25">
      <c r="ZZ1000"/>
    </row>
  </sheetData>
  <conditionalFormatting sqref="B5:Q104">
    <cfRule type="expression" dxfId="6" priority="4" stopIfTrue="1">
      <formula>$W5&lt;&gt;""</formula>
    </cfRule>
  </conditionalFormatting>
  <conditionalFormatting sqref="V5:V104">
    <cfRule type="cellIs" dxfId="5" priority="1" stopIfTrue="1" operator="equal">
      <formula>"În funcțiune"</formula>
    </cfRule>
    <cfRule type="cellIs" dxfId="4" priority="2" stopIfTrue="1" operator="equal">
      <formula>"Complet amortizat"</formula>
    </cfRule>
    <cfRule type="expression" dxfId="3" priority="3" stopIfTrue="1">
      <formula>LEFT($V5,5)="Ieșit"</formula>
    </cfRule>
  </conditionalFormatting>
  <dataValidations count="5">
    <dataValidation type="list" allowBlank="1" showInputMessage="1" showErrorMessage="1" sqref="D5:D104" xr:uid="{B3DA92A0-B3BD-4D7E-81A2-A22E84BD6764}">
      <formula1>Grupe</formula1>
    </dataValidation>
    <dataValidation type="list" allowBlank="1" showInputMessage="1" showErrorMessage="1" sqref="K5:K104" xr:uid="{93708109-8572-459B-BCD3-CE5A50C565C2}">
      <formula1>ListaMetode</formula1>
    </dataValidation>
    <dataValidation type="list" allowBlank="1" showInputMessage="1" showErrorMessage="1" sqref="O5:O104" xr:uid="{047C160E-D167-41A8-B6DC-592675105167}">
      <formula1>ListaIesire</formula1>
    </dataValidation>
    <dataValidation type="list" allowBlank="1" showInputMessage="1" showErrorMessage="1" sqref="P5:P104" xr:uid="{2F305CB0-EA0A-4DEA-BF86-A19B41E566ED}">
      <formula1>ListaDaNu</formula1>
    </dataValidation>
    <dataValidation type="list" allowBlank="1" showInputMessage="1" showErrorMessage="1" sqref="Q5:Q104" xr:uid="{B2CA2DCC-0DA3-4D78-B35C-B3C701B5A7FC}">
      <formula1>ListaStare</formula1>
    </dataValidation>
  </dataValidations>
  <pageMargins left="0.7" right="0.7" top="0.75" bottom="0.75" header="0.3" footer="0.3"/>
  <pageSetup scale="39" fitToHeight="0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5F276-899B-4D39-8B43-9E261713E830}">
  <sheetPr>
    <pageSetUpPr fitToPage="1"/>
  </sheetPr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9.7109375" style="1" customWidth="1"/>
    <col min="3" max="4" width="12.7109375" style="1" customWidth="1"/>
    <col min="5" max="8" width="14.7109375" style="1" customWidth="1"/>
    <col min="9" max="16384" width="11.42578125" style="1"/>
  </cols>
  <sheetData>
    <row r="1" spans="2:14" ht="15.75" x14ac:dyDescent="0.25">
      <c r="B1" s="4" t="s">
        <v>178</v>
      </c>
      <c r="D1" s="29" t="s">
        <v>67</v>
      </c>
      <c r="E1" s="3" t="s">
        <v>179</v>
      </c>
      <c r="N1" s="30">
        <f>IFERROR(MATCH(D1,'Registru mijloace fixe'!$B$5:$B$104,0),0)</f>
        <v>2</v>
      </c>
    </row>
    <row r="3" spans="2:14" x14ac:dyDescent="0.2">
      <c r="B3" s="48" t="str">
        <f>Firma&amp;"   ·   CIF: "&amp;CIF</f>
        <v>Exemplu Instalații SRL   ·   CIF: RO12345678</v>
      </c>
      <c r="C3" s="49"/>
      <c r="D3" s="49"/>
      <c r="E3" s="49"/>
      <c r="F3" s="49"/>
      <c r="G3" s="49"/>
      <c r="H3" s="49"/>
    </row>
    <row r="5" spans="2:14" ht="21" x14ac:dyDescent="0.2">
      <c r="B5" s="50" t="s">
        <v>180</v>
      </c>
      <c r="C5" s="50"/>
      <c r="D5" s="50"/>
      <c r="E5" s="50"/>
      <c r="F5" s="50"/>
      <c r="G5" s="50"/>
      <c r="H5" s="50"/>
    </row>
    <row r="6" spans="2:14" ht="15" x14ac:dyDescent="0.2">
      <c r="B6" s="51" t="str">
        <f>IF(RandF=0,"Numărul nu există în registru.","Nr. inventar "&amp;D1&amp;"   ·   "&amp;IF(RandF=0,"",INDEX('Registru mijloace fixe'!$C$5:$C$104,RandF)))</f>
        <v>Nr. inventar MF-002   ·   Strung CNC</v>
      </c>
      <c r="C6" s="51"/>
      <c r="D6" s="51"/>
      <c r="E6" s="51"/>
      <c r="F6" s="51"/>
      <c r="G6" s="51"/>
      <c r="H6" s="51"/>
    </row>
    <row r="8" spans="2:14" x14ac:dyDescent="0.2">
      <c r="B8" s="42" t="s">
        <v>181</v>
      </c>
      <c r="C8" s="43"/>
      <c r="D8" s="44" t="str">
        <f>IF(RandF=0,"",INDEX('Registru mijloace fixe'!$D$5:$D$104,RandF))</f>
        <v>2.1 – Echipamente tehnologice (mașini, utilaje)</v>
      </c>
      <c r="E8" s="44"/>
      <c r="F8" s="44"/>
      <c r="G8" s="44"/>
      <c r="H8" s="44"/>
    </row>
    <row r="9" spans="2:14" x14ac:dyDescent="0.2">
      <c r="B9" s="42" t="s">
        <v>182</v>
      </c>
      <c r="C9" s="43"/>
      <c r="D9" s="44" t="str">
        <f>IF(RandF=0,"",INDEX('Registru mijloace fixe'!$E$5:$E$104,RandF))</f>
        <v>2.1.1</v>
      </c>
      <c r="E9" s="44"/>
      <c r="F9" s="44"/>
      <c r="G9" s="44"/>
      <c r="H9" s="44"/>
    </row>
    <row r="10" spans="2:14" x14ac:dyDescent="0.2">
      <c r="B10" s="42" t="s">
        <v>183</v>
      </c>
      <c r="C10" s="43"/>
      <c r="D10" s="44" t="str">
        <f>IF(RandF=0,"",INDEX('Registru mijloace fixe'!$F$5:$F$104,RandF))</f>
        <v>Factura FX 2210</v>
      </c>
      <c r="E10" s="44"/>
      <c r="F10" s="44"/>
      <c r="G10" s="44"/>
      <c r="H10" s="44"/>
    </row>
    <row r="11" spans="2:14" x14ac:dyDescent="0.2">
      <c r="B11" s="42" t="s">
        <v>184</v>
      </c>
      <c r="C11" s="43"/>
      <c r="D11" s="44" t="str">
        <f>IF(RandF=0,"",IF(ISNUMBER(INDEX('Registru mijloace fixe'!$G$5:$G$104,RandF)),RIGHT("0"&amp;DAY(INDEX('Registru mijloace fixe'!$G$5:$G$104,RandF)),2)&amp;"."&amp;RIGHT("0"&amp;MONTH(INDEX('Registru mijloace fixe'!$G$5:$G$104,RandF)),2)&amp;"."&amp;YEAR(INDEX('Registru mijloace fixe'!$G$5:$G$104,RandF)),""))</f>
        <v>10.05.2024</v>
      </c>
      <c r="E11" s="44"/>
      <c r="F11" s="44"/>
      <c r="G11" s="44"/>
      <c r="H11" s="44"/>
    </row>
    <row r="12" spans="2:14" x14ac:dyDescent="0.2">
      <c r="B12" s="42" t="s">
        <v>185</v>
      </c>
      <c r="C12" s="43"/>
      <c r="D12" s="44" t="str">
        <f>IF(RandF=0,"",IF(ISNUMBER(INDEX('Registru mijloace fixe'!$H$5:$H$104,RandF)),RIGHT("0"&amp;DAY(INDEX('Registru mijloace fixe'!$H$5:$H$104,RandF)),2)&amp;"."&amp;RIGHT("0"&amp;MONTH(INDEX('Registru mijloace fixe'!$H$5:$H$104,RandF)),2)&amp;"."&amp;YEAR(INDEX('Registru mijloace fixe'!$H$5:$H$104,RandF)),""))</f>
        <v>20.05.2024</v>
      </c>
      <c r="E12" s="44"/>
      <c r="F12" s="44"/>
      <c r="G12" s="44"/>
      <c r="H12" s="44"/>
    </row>
    <row r="13" spans="2:14" x14ac:dyDescent="0.2">
      <c r="B13" s="42" t="s">
        <v>186</v>
      </c>
      <c r="C13" s="43"/>
      <c r="D13" s="47">
        <f>IF(RandF=0,"",INDEX('Registru mijloace fixe'!$I$5:$I$104,RandF))</f>
        <v>185000</v>
      </c>
      <c r="E13" s="44"/>
      <c r="F13" s="44"/>
      <c r="G13" s="44"/>
      <c r="H13" s="44"/>
    </row>
    <row r="14" spans="2:14" x14ac:dyDescent="0.2">
      <c r="B14" s="42" t="s">
        <v>187</v>
      </c>
      <c r="C14" s="43"/>
      <c r="D14" s="44" t="str">
        <f>IF(RandF=0,"",IF(RandF=0,"",INDEX('Registru mijloace fixe'!$J$5:$J$104,RandF))&amp;" ani · "&amp;IF(RandF=0,"",INDEX('Registru mijloace fixe'!$K$5:$K$104,RandF)))</f>
        <v>8 ani · Degresivă</v>
      </c>
      <c r="E14" s="44"/>
      <c r="F14" s="44"/>
      <c r="G14" s="44"/>
      <c r="H14" s="44"/>
    </row>
    <row r="15" spans="2:14" x14ac:dyDescent="0.2">
      <c r="B15" s="42" t="s">
        <v>188</v>
      </c>
      <c r="C15" s="43"/>
      <c r="D15" s="44" t="str">
        <f>IF(RandF=0,"",IF(ISNUMBER(INDEX('Registru mijloace fixe'!$R$5:$R$104,RandF)),RIGHT("0"&amp;DAY(INDEX('Registru mijloace fixe'!$R$5:$R$104,RandF)),2)&amp;"."&amp;RIGHT("0"&amp;MONTH(INDEX('Registru mijloace fixe'!$R$5:$R$104,RandF)),2)&amp;"."&amp;YEAR(INDEX('Registru mijloace fixe'!$R$5:$R$104,RandF)),""))</f>
        <v>01.06.2024</v>
      </c>
      <c r="E15" s="44"/>
      <c r="F15" s="44"/>
      <c r="G15" s="44"/>
      <c r="H15" s="44"/>
    </row>
    <row r="16" spans="2:14" x14ac:dyDescent="0.2">
      <c r="B16" s="42" t="s">
        <v>189</v>
      </c>
      <c r="C16" s="43"/>
      <c r="D16" s="44" t="str">
        <f>IF(RandF=0,"",IF(RandF=0,"",INDEX('Registru mijloace fixe'!$L$5:$L$104,RandF))&amp;" · "&amp;IF(RandF=0,"",INDEX('Registru mijloace fixe'!$M$5:$M$104,RandF)))</f>
        <v>Atelier · Sorin Neagu</v>
      </c>
      <c r="E16" s="44"/>
      <c r="F16" s="44"/>
      <c r="G16" s="44"/>
      <c r="H16" s="44"/>
    </row>
    <row r="17" spans="2:8" x14ac:dyDescent="0.2">
      <c r="B17" s="42" t="s">
        <v>190</v>
      </c>
      <c r="C17" s="43"/>
      <c r="D17" s="44" t="str">
        <f>IF(RandF=0,"",IF(ISNUMBER(INDEX('Registru mijloace fixe'!$N$5:$N$104,RandF)),RIGHT("0"&amp;DAY(INDEX('Registru mijloace fixe'!$N$5:$N$104,RandF)),2)&amp;"."&amp;RIGHT("0"&amp;MONTH(INDEX('Registru mijloace fixe'!$N$5:$N$104,RandF)),2)&amp;"."&amp;YEAR(INDEX('Registru mijloace fixe'!$N$5:$N$104,RandF))&amp;" – "&amp;IF(RandF=0,"",INDEX('Registru mijloace fixe'!$O$5:$O$104,RandF)),"–"))</f>
        <v>–</v>
      </c>
      <c r="E17" s="44"/>
      <c r="F17" s="44"/>
      <c r="G17" s="44"/>
      <c r="H17" s="44"/>
    </row>
    <row r="19" spans="2:8" x14ac:dyDescent="0.2">
      <c r="B19" s="11" t="s">
        <v>191</v>
      </c>
    </row>
    <row r="20" spans="2:8" ht="30" customHeight="1" x14ac:dyDescent="0.2">
      <c r="B20" s="12" t="s">
        <v>192</v>
      </c>
      <c r="C20" s="12" t="s">
        <v>193</v>
      </c>
      <c r="D20" s="12" t="s">
        <v>194</v>
      </c>
      <c r="E20" s="12" t="s">
        <v>195</v>
      </c>
      <c r="F20" s="12" t="s">
        <v>57</v>
      </c>
      <c r="G20" s="12" t="s">
        <v>58</v>
      </c>
      <c r="H20" s="12" t="s">
        <v>196</v>
      </c>
    </row>
    <row r="21" spans="2:8" x14ac:dyDescent="0.2">
      <c r="B21" s="31">
        <f>IF(AND(RandF&gt;0,INDEX(Calcul!$C$5:$C$104,RandF)&gt;=1),1,"")</f>
        <v>1</v>
      </c>
      <c r="C21" s="31" t="str">
        <f>IF(AND(RandF&gt;0,INDEX(Calcul!$C$5:$C$104,RandF)&gt;=1),RIGHT("0"&amp;DAY(EDATE(INDEX('Registru mijloace fixe'!$R$5:$R$104,RandF),12*(1-1))),2)&amp;"."&amp;RIGHT("0"&amp;MONTH(EDATE(INDEX('Registru mijloace fixe'!$R$5:$R$104,RandF),12*(1-1))),2)&amp;"."&amp;YEAR(EDATE(INDEX('Registru mijloace fixe'!$R$5:$R$104,RandF),12*(1-1))),"")</f>
        <v>01.06.2024</v>
      </c>
      <c r="D21" s="31" t="str">
        <f>IF(AND(RandF&gt;0,INDEX(Calcul!$C$5:$C$104,RandF)&gt;=1),RIGHT("0"&amp;DAY(EDATE(INDEX('Registru mijloace fixe'!$R$5:$R$104,RandF),12*1)-1),2)&amp;"."&amp;RIGHT("0"&amp;MONTH(EDATE(INDEX('Registru mijloace fixe'!$R$5:$R$104,RandF),12*1)-1),2)&amp;"."&amp;YEAR(EDATE(INDEX('Registru mijloace fixe'!$R$5:$R$104,RandF),12*1)-1),"")</f>
        <v>31.05.2025</v>
      </c>
      <c r="E21" s="32">
        <f>IF(AND(RandF&gt;0,INDEX(Calcul!$C$5:$C$104,RandF)&gt;=1),IF(INDEX(Calcul!$D$5:$D$104,RandF)="Liniară",INDEX(Calcul!$B$5:$B$104,RandF)/INDEX(Calcul!$C$5:$C$104,RandF),INDEX(Calcul!$G$5:$G$104,RandF)),"")</f>
        <v>46250</v>
      </c>
      <c r="F21" s="32">
        <f>IF(AND(RandF&gt;0,INDEX(Calcul!$C$5:$C$104,RandF)&gt;=1),MIN(INDEX(Calcul!$B$5:$B$104,RandF),E21),"")</f>
        <v>46250</v>
      </c>
      <c r="G21" s="32">
        <f>IF(AND(RandF&gt;0,INDEX(Calcul!$C$5:$C$104,RandF)&gt;=1),MAX(0,INDEX(Calcul!$B$5:$B$104,RandF)-F21),"")</f>
        <v>138750</v>
      </c>
      <c r="H21" s="33" t="str">
        <f>IF(NOT(AND(RandF&gt;0,INDEX(Calcul!$C$5:$C$104,RandF)&gt;=1)),"",IF(AND(LunaRef&gt;=EDATE(INDEX('Registru mijloace fixe'!$R$5:$R$104,RandF),12*(1-1)),LunaRef&lt;EDATE(INDEX('Registru mijloace fixe'!$R$5:$R$104,RandF),12*1)),"← anul curent",""))</f>
        <v/>
      </c>
    </row>
    <row r="22" spans="2:8" x14ac:dyDescent="0.2">
      <c r="B22" s="31">
        <f>IF(AND(RandF&gt;0,INDEX(Calcul!$C$5:$C$104,RandF)&gt;=2),2,"")</f>
        <v>2</v>
      </c>
      <c r="C22" s="31" t="str">
        <f>IF(AND(RandF&gt;0,INDEX(Calcul!$C$5:$C$104,RandF)&gt;=2),RIGHT("0"&amp;DAY(EDATE(INDEX('Registru mijloace fixe'!$R$5:$R$104,RandF),12*(2-1))),2)&amp;"."&amp;RIGHT("0"&amp;MONTH(EDATE(INDEX('Registru mijloace fixe'!$R$5:$R$104,RandF),12*(2-1))),2)&amp;"."&amp;YEAR(EDATE(INDEX('Registru mijloace fixe'!$R$5:$R$104,RandF),12*(2-1))),"")</f>
        <v>01.06.2025</v>
      </c>
      <c r="D22" s="31" t="str">
        <f>IF(AND(RandF&gt;0,INDEX(Calcul!$C$5:$C$104,RandF)&gt;=2),RIGHT("0"&amp;DAY(EDATE(INDEX('Registru mijloace fixe'!$R$5:$R$104,RandF),12*2)-1),2)&amp;"."&amp;RIGHT("0"&amp;MONTH(EDATE(INDEX('Registru mijloace fixe'!$R$5:$R$104,RandF),12*2)-1),2)&amp;"."&amp;YEAR(EDATE(INDEX('Registru mijloace fixe'!$R$5:$R$104,RandF),12*2)-1),"")</f>
        <v>31.05.2026</v>
      </c>
      <c r="E22" s="32">
        <f>IF(AND(RandF&gt;0,INDEX(Calcul!$C$5:$C$104,RandF)&gt;=2),IF(INDEX(Calcul!$D$5:$D$104,RandF)="Liniară",INDEX(Calcul!$B$5:$B$104,RandF)/INDEX(Calcul!$C$5:$C$104,RandF),INDEX(Calcul!$H$5:$H$104,RandF)),"")</f>
        <v>34687.5</v>
      </c>
      <c r="F22" s="32">
        <f>IF(AND(RandF&gt;0,INDEX(Calcul!$C$5:$C$104,RandF)&gt;=2),MIN(INDEX(Calcul!$B$5:$B$104,RandF),F21+E22),"")</f>
        <v>80937.5</v>
      </c>
      <c r="G22" s="32">
        <f>IF(AND(RandF&gt;0,INDEX(Calcul!$C$5:$C$104,RandF)&gt;=2),MAX(0,INDEX(Calcul!$B$5:$B$104,RandF)-F22),"")</f>
        <v>104062.5</v>
      </c>
      <c r="H22" s="33" t="str">
        <f>IF(NOT(AND(RandF&gt;0,INDEX(Calcul!$C$5:$C$104,RandF)&gt;=2)),"",IF(AND(LunaRef&gt;=EDATE(INDEX('Registru mijloace fixe'!$R$5:$R$104,RandF),12*(2-1)),LunaRef&lt;EDATE(INDEX('Registru mijloace fixe'!$R$5:$R$104,RandF),12*2)),"← anul curent",""))</f>
        <v/>
      </c>
    </row>
    <row r="23" spans="2:8" x14ac:dyDescent="0.2">
      <c r="B23" s="31">
        <f>IF(AND(RandF&gt;0,INDEX(Calcul!$C$5:$C$104,RandF)&gt;=3),3,"")</f>
        <v>3</v>
      </c>
      <c r="C23" s="31" t="str">
        <f>IF(AND(RandF&gt;0,INDEX(Calcul!$C$5:$C$104,RandF)&gt;=3),RIGHT("0"&amp;DAY(EDATE(INDEX('Registru mijloace fixe'!$R$5:$R$104,RandF),12*(3-1))),2)&amp;"."&amp;RIGHT("0"&amp;MONTH(EDATE(INDEX('Registru mijloace fixe'!$R$5:$R$104,RandF),12*(3-1))),2)&amp;"."&amp;YEAR(EDATE(INDEX('Registru mijloace fixe'!$R$5:$R$104,RandF),12*(3-1))),"")</f>
        <v>01.06.2026</v>
      </c>
      <c r="D23" s="31" t="str">
        <f>IF(AND(RandF&gt;0,INDEX(Calcul!$C$5:$C$104,RandF)&gt;=3),RIGHT("0"&amp;DAY(EDATE(INDEX('Registru mijloace fixe'!$R$5:$R$104,RandF),12*3)-1),2)&amp;"."&amp;RIGHT("0"&amp;MONTH(EDATE(INDEX('Registru mijloace fixe'!$R$5:$R$104,RandF),12*3)-1),2)&amp;"."&amp;YEAR(EDATE(INDEX('Registru mijloace fixe'!$R$5:$R$104,RandF),12*3)-1),"")</f>
        <v>31.05.2027</v>
      </c>
      <c r="E23" s="32">
        <f>IF(AND(RandF&gt;0,INDEX(Calcul!$C$5:$C$104,RandF)&gt;=3),IF(INDEX(Calcul!$D$5:$D$104,RandF)="Liniară",INDEX(Calcul!$B$5:$B$104,RandF)/INDEX(Calcul!$C$5:$C$104,RandF),INDEX(Calcul!$I$5:$I$104,RandF)),"")</f>
        <v>26015.625</v>
      </c>
      <c r="F23" s="32">
        <f>IF(AND(RandF&gt;0,INDEX(Calcul!$C$5:$C$104,RandF)&gt;=3),MIN(INDEX(Calcul!$B$5:$B$104,RandF),F22+E23),"")</f>
        <v>106953.125</v>
      </c>
      <c r="G23" s="32">
        <f>IF(AND(RandF&gt;0,INDEX(Calcul!$C$5:$C$104,RandF)&gt;=3),MAX(0,INDEX(Calcul!$B$5:$B$104,RandF)-F23),"")</f>
        <v>78046.875</v>
      </c>
      <c r="H23" s="33" t="str">
        <f>IF(NOT(AND(RandF&gt;0,INDEX(Calcul!$C$5:$C$104,RandF)&gt;=3)),"",IF(AND(LunaRef&gt;=EDATE(INDEX('Registru mijloace fixe'!$R$5:$R$104,RandF),12*(3-1)),LunaRef&lt;EDATE(INDEX('Registru mijloace fixe'!$R$5:$R$104,RandF),12*3)),"← anul curent",""))</f>
        <v>← anul curent</v>
      </c>
    </row>
    <row r="24" spans="2:8" x14ac:dyDescent="0.2">
      <c r="B24" s="31">
        <f>IF(AND(RandF&gt;0,INDEX(Calcul!$C$5:$C$104,RandF)&gt;=4),4,"")</f>
        <v>4</v>
      </c>
      <c r="C24" s="31" t="str">
        <f>IF(AND(RandF&gt;0,INDEX(Calcul!$C$5:$C$104,RandF)&gt;=4),RIGHT("0"&amp;DAY(EDATE(INDEX('Registru mijloace fixe'!$R$5:$R$104,RandF),12*(4-1))),2)&amp;"."&amp;RIGHT("0"&amp;MONTH(EDATE(INDEX('Registru mijloace fixe'!$R$5:$R$104,RandF),12*(4-1))),2)&amp;"."&amp;YEAR(EDATE(INDEX('Registru mijloace fixe'!$R$5:$R$104,RandF),12*(4-1))),"")</f>
        <v>01.06.2027</v>
      </c>
      <c r="D24" s="31" t="str">
        <f>IF(AND(RandF&gt;0,INDEX(Calcul!$C$5:$C$104,RandF)&gt;=4),RIGHT("0"&amp;DAY(EDATE(INDEX('Registru mijloace fixe'!$R$5:$R$104,RandF),12*4)-1),2)&amp;"."&amp;RIGHT("0"&amp;MONTH(EDATE(INDEX('Registru mijloace fixe'!$R$5:$R$104,RandF),12*4)-1),2)&amp;"."&amp;YEAR(EDATE(INDEX('Registru mijloace fixe'!$R$5:$R$104,RandF),12*4)-1),"")</f>
        <v>31.05.2028</v>
      </c>
      <c r="E24" s="32">
        <f>IF(AND(RandF&gt;0,INDEX(Calcul!$C$5:$C$104,RandF)&gt;=4),IF(INDEX(Calcul!$D$5:$D$104,RandF)="Liniară",INDEX(Calcul!$B$5:$B$104,RandF)/INDEX(Calcul!$C$5:$C$104,RandF),INDEX(Calcul!$J$5:$J$104,RandF)),"")</f>
        <v>19511.71875</v>
      </c>
      <c r="F24" s="32">
        <f>IF(AND(RandF&gt;0,INDEX(Calcul!$C$5:$C$104,RandF)&gt;=4),MIN(INDEX(Calcul!$B$5:$B$104,RandF),F23+E24),"")</f>
        <v>126464.84375</v>
      </c>
      <c r="G24" s="32">
        <f>IF(AND(RandF&gt;0,INDEX(Calcul!$C$5:$C$104,RandF)&gt;=4),MAX(0,INDEX(Calcul!$B$5:$B$104,RandF)-F24),"")</f>
        <v>58535.15625</v>
      </c>
      <c r="H24" s="33" t="str">
        <f>IF(NOT(AND(RandF&gt;0,INDEX(Calcul!$C$5:$C$104,RandF)&gt;=4)),"",IF(AND(LunaRef&gt;=EDATE(INDEX('Registru mijloace fixe'!$R$5:$R$104,RandF),12*(4-1)),LunaRef&lt;EDATE(INDEX('Registru mijloace fixe'!$R$5:$R$104,RandF),12*4)),"← anul curent",""))</f>
        <v/>
      </c>
    </row>
    <row r="25" spans="2:8" x14ac:dyDescent="0.2">
      <c r="B25" s="31">
        <f>IF(AND(RandF&gt;0,INDEX(Calcul!$C$5:$C$104,RandF)&gt;=5),5,"")</f>
        <v>5</v>
      </c>
      <c r="C25" s="31" t="str">
        <f>IF(AND(RandF&gt;0,INDEX(Calcul!$C$5:$C$104,RandF)&gt;=5),RIGHT("0"&amp;DAY(EDATE(INDEX('Registru mijloace fixe'!$R$5:$R$104,RandF),12*(5-1))),2)&amp;"."&amp;RIGHT("0"&amp;MONTH(EDATE(INDEX('Registru mijloace fixe'!$R$5:$R$104,RandF),12*(5-1))),2)&amp;"."&amp;YEAR(EDATE(INDEX('Registru mijloace fixe'!$R$5:$R$104,RandF),12*(5-1))),"")</f>
        <v>01.06.2028</v>
      </c>
      <c r="D25" s="31" t="str">
        <f>IF(AND(RandF&gt;0,INDEX(Calcul!$C$5:$C$104,RandF)&gt;=5),RIGHT("0"&amp;DAY(EDATE(INDEX('Registru mijloace fixe'!$R$5:$R$104,RandF),12*5)-1),2)&amp;"."&amp;RIGHT("0"&amp;MONTH(EDATE(INDEX('Registru mijloace fixe'!$R$5:$R$104,RandF),12*5)-1),2)&amp;"."&amp;YEAR(EDATE(INDEX('Registru mijloace fixe'!$R$5:$R$104,RandF),12*5)-1),"")</f>
        <v>31.05.2029</v>
      </c>
      <c r="E25" s="32">
        <f>IF(AND(RandF&gt;0,INDEX(Calcul!$C$5:$C$104,RandF)&gt;=5),IF(INDEX(Calcul!$D$5:$D$104,RandF)="Liniară",INDEX(Calcul!$B$5:$B$104,RandF)/INDEX(Calcul!$C$5:$C$104,RandF),INDEX(Calcul!$K$5:$K$104,RandF)),"")</f>
        <v>14633.7890625</v>
      </c>
      <c r="F25" s="32">
        <f>IF(AND(RandF&gt;0,INDEX(Calcul!$C$5:$C$104,RandF)&gt;=5),MIN(INDEX(Calcul!$B$5:$B$104,RandF),F24+E25),"")</f>
        <v>141098.6328125</v>
      </c>
      <c r="G25" s="32">
        <f>IF(AND(RandF&gt;0,INDEX(Calcul!$C$5:$C$104,RandF)&gt;=5),MAX(0,INDEX(Calcul!$B$5:$B$104,RandF)-F25),"")</f>
        <v>43901.3671875</v>
      </c>
      <c r="H25" s="33" t="str">
        <f>IF(NOT(AND(RandF&gt;0,INDEX(Calcul!$C$5:$C$104,RandF)&gt;=5)),"",IF(AND(LunaRef&gt;=EDATE(INDEX('Registru mijloace fixe'!$R$5:$R$104,RandF),12*(5-1)),LunaRef&lt;EDATE(INDEX('Registru mijloace fixe'!$R$5:$R$104,RandF),12*5)),"← anul curent",""))</f>
        <v/>
      </c>
    </row>
    <row r="26" spans="2:8" x14ac:dyDescent="0.2">
      <c r="B26" s="31">
        <f>IF(AND(RandF&gt;0,INDEX(Calcul!$C$5:$C$104,RandF)&gt;=6),6,"")</f>
        <v>6</v>
      </c>
      <c r="C26" s="31" t="str">
        <f>IF(AND(RandF&gt;0,INDEX(Calcul!$C$5:$C$104,RandF)&gt;=6),RIGHT("0"&amp;DAY(EDATE(INDEX('Registru mijloace fixe'!$R$5:$R$104,RandF),12*(6-1))),2)&amp;"."&amp;RIGHT("0"&amp;MONTH(EDATE(INDEX('Registru mijloace fixe'!$R$5:$R$104,RandF),12*(6-1))),2)&amp;"."&amp;YEAR(EDATE(INDEX('Registru mijloace fixe'!$R$5:$R$104,RandF),12*(6-1))),"")</f>
        <v>01.06.2029</v>
      </c>
      <c r="D26" s="31" t="str">
        <f>IF(AND(RandF&gt;0,INDEX(Calcul!$C$5:$C$104,RandF)&gt;=6),RIGHT("0"&amp;DAY(EDATE(INDEX('Registru mijloace fixe'!$R$5:$R$104,RandF),12*6)-1),2)&amp;"."&amp;RIGHT("0"&amp;MONTH(EDATE(INDEX('Registru mijloace fixe'!$R$5:$R$104,RandF),12*6)-1),2)&amp;"."&amp;YEAR(EDATE(INDEX('Registru mijloace fixe'!$R$5:$R$104,RandF),12*6)-1),"")</f>
        <v>31.05.2030</v>
      </c>
      <c r="E26" s="32">
        <f>IF(AND(RandF&gt;0,INDEX(Calcul!$C$5:$C$104,RandF)&gt;=6),IF(INDEX(Calcul!$D$5:$D$104,RandF)="Liniară",INDEX(Calcul!$B$5:$B$104,RandF)/INDEX(Calcul!$C$5:$C$104,RandF),INDEX(Calcul!$L$5:$L$104,RandF)),"")</f>
        <v>14633.7890625</v>
      </c>
      <c r="F26" s="32">
        <f>IF(AND(RandF&gt;0,INDEX(Calcul!$C$5:$C$104,RandF)&gt;=6),MIN(INDEX(Calcul!$B$5:$B$104,RandF),F25+E26),"")</f>
        <v>155732.421875</v>
      </c>
      <c r="G26" s="32">
        <f>IF(AND(RandF&gt;0,INDEX(Calcul!$C$5:$C$104,RandF)&gt;=6),MAX(0,INDEX(Calcul!$B$5:$B$104,RandF)-F26),"")</f>
        <v>29267.578125</v>
      </c>
      <c r="H26" s="33" t="str">
        <f>IF(NOT(AND(RandF&gt;0,INDEX(Calcul!$C$5:$C$104,RandF)&gt;=6)),"",IF(AND(LunaRef&gt;=EDATE(INDEX('Registru mijloace fixe'!$R$5:$R$104,RandF),12*(6-1)),LunaRef&lt;EDATE(INDEX('Registru mijloace fixe'!$R$5:$R$104,RandF),12*6)),"← anul curent",""))</f>
        <v/>
      </c>
    </row>
    <row r="27" spans="2:8" x14ac:dyDescent="0.2">
      <c r="B27" s="31">
        <f>IF(AND(RandF&gt;0,INDEX(Calcul!$C$5:$C$104,RandF)&gt;=7),7,"")</f>
        <v>7</v>
      </c>
      <c r="C27" s="31" t="str">
        <f>IF(AND(RandF&gt;0,INDEX(Calcul!$C$5:$C$104,RandF)&gt;=7),RIGHT("0"&amp;DAY(EDATE(INDEX('Registru mijloace fixe'!$R$5:$R$104,RandF),12*(7-1))),2)&amp;"."&amp;RIGHT("0"&amp;MONTH(EDATE(INDEX('Registru mijloace fixe'!$R$5:$R$104,RandF),12*(7-1))),2)&amp;"."&amp;YEAR(EDATE(INDEX('Registru mijloace fixe'!$R$5:$R$104,RandF),12*(7-1))),"")</f>
        <v>01.06.2030</v>
      </c>
      <c r="D27" s="31" t="str">
        <f>IF(AND(RandF&gt;0,INDEX(Calcul!$C$5:$C$104,RandF)&gt;=7),RIGHT("0"&amp;DAY(EDATE(INDEX('Registru mijloace fixe'!$R$5:$R$104,RandF),12*7)-1),2)&amp;"."&amp;RIGHT("0"&amp;MONTH(EDATE(INDEX('Registru mijloace fixe'!$R$5:$R$104,RandF),12*7)-1),2)&amp;"."&amp;YEAR(EDATE(INDEX('Registru mijloace fixe'!$R$5:$R$104,RandF),12*7)-1),"")</f>
        <v>31.05.2031</v>
      </c>
      <c r="E27" s="32">
        <f>IF(AND(RandF&gt;0,INDEX(Calcul!$C$5:$C$104,RandF)&gt;=7),IF(INDEX(Calcul!$D$5:$D$104,RandF)="Liniară",INDEX(Calcul!$B$5:$B$104,RandF)/INDEX(Calcul!$C$5:$C$104,RandF),INDEX(Calcul!$M$5:$M$104,RandF)),"")</f>
        <v>14633.7890625</v>
      </c>
      <c r="F27" s="32">
        <f>IF(AND(RandF&gt;0,INDEX(Calcul!$C$5:$C$104,RandF)&gt;=7),MIN(INDEX(Calcul!$B$5:$B$104,RandF),F26+E27),"")</f>
        <v>170366.2109375</v>
      </c>
      <c r="G27" s="32">
        <f>IF(AND(RandF&gt;0,INDEX(Calcul!$C$5:$C$104,RandF)&gt;=7),MAX(0,INDEX(Calcul!$B$5:$B$104,RandF)-F27),"")</f>
        <v>14633.7890625</v>
      </c>
      <c r="H27" s="33" t="str">
        <f>IF(NOT(AND(RandF&gt;0,INDEX(Calcul!$C$5:$C$104,RandF)&gt;=7)),"",IF(AND(LunaRef&gt;=EDATE(INDEX('Registru mijloace fixe'!$R$5:$R$104,RandF),12*(7-1)),LunaRef&lt;EDATE(INDEX('Registru mijloace fixe'!$R$5:$R$104,RandF),12*7)),"← anul curent",""))</f>
        <v/>
      </c>
    </row>
    <row r="28" spans="2:8" x14ac:dyDescent="0.2">
      <c r="B28" s="31">
        <f>IF(AND(RandF&gt;0,INDEX(Calcul!$C$5:$C$104,RandF)&gt;=8),8,"")</f>
        <v>8</v>
      </c>
      <c r="C28" s="31" t="str">
        <f>IF(AND(RandF&gt;0,INDEX(Calcul!$C$5:$C$104,RandF)&gt;=8),RIGHT("0"&amp;DAY(EDATE(INDEX('Registru mijloace fixe'!$R$5:$R$104,RandF),12*(8-1))),2)&amp;"."&amp;RIGHT("0"&amp;MONTH(EDATE(INDEX('Registru mijloace fixe'!$R$5:$R$104,RandF),12*(8-1))),2)&amp;"."&amp;YEAR(EDATE(INDEX('Registru mijloace fixe'!$R$5:$R$104,RandF),12*(8-1))),"")</f>
        <v>01.06.2031</v>
      </c>
      <c r="D28" s="31" t="str">
        <f>IF(AND(RandF&gt;0,INDEX(Calcul!$C$5:$C$104,RandF)&gt;=8),RIGHT("0"&amp;DAY(EDATE(INDEX('Registru mijloace fixe'!$R$5:$R$104,RandF),12*8)-1),2)&amp;"."&amp;RIGHT("0"&amp;MONTH(EDATE(INDEX('Registru mijloace fixe'!$R$5:$R$104,RandF),12*8)-1),2)&amp;"."&amp;YEAR(EDATE(INDEX('Registru mijloace fixe'!$R$5:$R$104,RandF),12*8)-1),"")</f>
        <v>31.05.2032</v>
      </c>
      <c r="E28" s="32">
        <f>IF(AND(RandF&gt;0,INDEX(Calcul!$C$5:$C$104,RandF)&gt;=8),IF(INDEX(Calcul!$D$5:$D$104,RandF)="Liniară",INDEX(Calcul!$B$5:$B$104,RandF)/INDEX(Calcul!$C$5:$C$104,RandF),INDEX(Calcul!$N$5:$N$104,RandF)),"")</f>
        <v>14633.7890625</v>
      </c>
      <c r="F28" s="32">
        <f>IF(AND(RandF&gt;0,INDEX(Calcul!$C$5:$C$104,RandF)&gt;=8),MIN(INDEX(Calcul!$B$5:$B$104,RandF),F27+E28),"")</f>
        <v>185000</v>
      </c>
      <c r="G28" s="32">
        <f>IF(AND(RandF&gt;0,INDEX(Calcul!$C$5:$C$104,RandF)&gt;=8),MAX(0,INDEX(Calcul!$B$5:$B$104,RandF)-F28),"")</f>
        <v>0</v>
      </c>
      <c r="H28" s="33" t="str">
        <f>IF(NOT(AND(RandF&gt;0,INDEX(Calcul!$C$5:$C$104,RandF)&gt;=8)),"",IF(AND(LunaRef&gt;=EDATE(INDEX('Registru mijloace fixe'!$R$5:$R$104,RandF),12*(8-1)),LunaRef&lt;EDATE(INDEX('Registru mijloace fixe'!$R$5:$R$104,RandF),12*8)),"← anul curent",""))</f>
        <v/>
      </c>
    </row>
    <row r="29" spans="2:8" x14ac:dyDescent="0.2">
      <c r="B29" s="31" t="str">
        <f>IF(AND(RandF&gt;0,INDEX(Calcul!$C$5:$C$104,RandF)&gt;=9),9,"")</f>
        <v/>
      </c>
      <c r="C29" s="31" t="str">
        <f>IF(AND(RandF&gt;0,INDEX(Calcul!$C$5:$C$104,RandF)&gt;=9),RIGHT("0"&amp;DAY(EDATE(INDEX('Registru mijloace fixe'!$R$5:$R$104,RandF),12*(9-1))),2)&amp;"."&amp;RIGHT("0"&amp;MONTH(EDATE(INDEX('Registru mijloace fixe'!$R$5:$R$104,RandF),12*(9-1))),2)&amp;"."&amp;YEAR(EDATE(INDEX('Registru mijloace fixe'!$R$5:$R$104,RandF),12*(9-1))),"")</f>
        <v/>
      </c>
      <c r="D29" s="31" t="str">
        <f>IF(AND(RandF&gt;0,INDEX(Calcul!$C$5:$C$104,RandF)&gt;=9),RIGHT("0"&amp;DAY(EDATE(INDEX('Registru mijloace fixe'!$R$5:$R$104,RandF),12*9)-1),2)&amp;"."&amp;RIGHT("0"&amp;MONTH(EDATE(INDEX('Registru mijloace fixe'!$R$5:$R$104,RandF),12*9)-1),2)&amp;"."&amp;YEAR(EDATE(INDEX('Registru mijloace fixe'!$R$5:$R$104,RandF),12*9)-1),"")</f>
        <v/>
      </c>
      <c r="E29" s="32" t="str">
        <f>IF(AND(RandF&gt;0,INDEX(Calcul!$C$5:$C$104,RandF)&gt;=9),IF(INDEX(Calcul!$D$5:$D$104,RandF)="Liniară",INDEX(Calcul!$B$5:$B$104,RandF)/INDEX(Calcul!$C$5:$C$104,RandF),INDEX(Calcul!$O$5:$O$104,RandF)),"")</f>
        <v/>
      </c>
      <c r="F29" s="32" t="str">
        <f>IF(AND(RandF&gt;0,INDEX(Calcul!$C$5:$C$104,RandF)&gt;=9),MIN(INDEX(Calcul!$B$5:$B$104,RandF),F28+E29),"")</f>
        <v/>
      </c>
      <c r="G29" s="32" t="str">
        <f>IF(AND(RandF&gt;0,INDEX(Calcul!$C$5:$C$104,RandF)&gt;=9),MAX(0,INDEX(Calcul!$B$5:$B$104,RandF)-F29),"")</f>
        <v/>
      </c>
      <c r="H29" s="33" t="str">
        <f>IF(NOT(AND(RandF&gt;0,INDEX(Calcul!$C$5:$C$104,RandF)&gt;=9)),"",IF(AND(LunaRef&gt;=EDATE(INDEX('Registru mijloace fixe'!$R$5:$R$104,RandF),12*(9-1)),LunaRef&lt;EDATE(INDEX('Registru mijloace fixe'!$R$5:$R$104,RandF),12*9)),"← anul curent",""))</f>
        <v/>
      </c>
    </row>
    <row r="30" spans="2:8" x14ac:dyDescent="0.2">
      <c r="B30" s="31" t="str">
        <f>IF(AND(RandF&gt;0,INDEX(Calcul!$C$5:$C$104,RandF)&gt;=10),10,"")</f>
        <v/>
      </c>
      <c r="C30" s="31" t="str">
        <f>IF(AND(RandF&gt;0,INDEX(Calcul!$C$5:$C$104,RandF)&gt;=10),RIGHT("0"&amp;DAY(EDATE(INDEX('Registru mijloace fixe'!$R$5:$R$104,RandF),12*(10-1))),2)&amp;"."&amp;RIGHT("0"&amp;MONTH(EDATE(INDEX('Registru mijloace fixe'!$R$5:$R$104,RandF),12*(10-1))),2)&amp;"."&amp;YEAR(EDATE(INDEX('Registru mijloace fixe'!$R$5:$R$104,RandF),12*(10-1))),"")</f>
        <v/>
      </c>
      <c r="D30" s="31" t="str">
        <f>IF(AND(RandF&gt;0,INDEX(Calcul!$C$5:$C$104,RandF)&gt;=10),RIGHT("0"&amp;DAY(EDATE(INDEX('Registru mijloace fixe'!$R$5:$R$104,RandF),12*10)-1),2)&amp;"."&amp;RIGHT("0"&amp;MONTH(EDATE(INDEX('Registru mijloace fixe'!$R$5:$R$104,RandF),12*10)-1),2)&amp;"."&amp;YEAR(EDATE(INDEX('Registru mijloace fixe'!$R$5:$R$104,RandF),12*10)-1),"")</f>
        <v/>
      </c>
      <c r="E30" s="32" t="str">
        <f>IF(AND(RandF&gt;0,INDEX(Calcul!$C$5:$C$104,RandF)&gt;=10),IF(INDEX(Calcul!$D$5:$D$104,RandF)="Liniară",INDEX(Calcul!$B$5:$B$104,RandF)/INDEX(Calcul!$C$5:$C$104,RandF),INDEX(Calcul!$P$5:$P$104,RandF)),"")</f>
        <v/>
      </c>
      <c r="F30" s="32" t="str">
        <f>IF(AND(RandF&gt;0,INDEX(Calcul!$C$5:$C$104,RandF)&gt;=10),MIN(INDEX(Calcul!$B$5:$B$104,RandF),F29+E30),"")</f>
        <v/>
      </c>
      <c r="G30" s="32" t="str">
        <f>IF(AND(RandF&gt;0,INDEX(Calcul!$C$5:$C$104,RandF)&gt;=10),MAX(0,INDEX(Calcul!$B$5:$B$104,RandF)-F30),"")</f>
        <v/>
      </c>
      <c r="H30" s="33" t="str">
        <f>IF(NOT(AND(RandF&gt;0,INDEX(Calcul!$C$5:$C$104,RandF)&gt;=10)),"",IF(AND(LunaRef&gt;=EDATE(INDEX('Registru mijloace fixe'!$R$5:$R$104,RandF),12*(10-1)),LunaRef&lt;EDATE(INDEX('Registru mijloace fixe'!$R$5:$R$104,RandF),12*10)),"← anul curent",""))</f>
        <v/>
      </c>
    </row>
    <row r="31" spans="2:8" x14ac:dyDescent="0.2">
      <c r="B31" s="31" t="str">
        <f>IF(AND(RandF&gt;0,INDEX(Calcul!$C$5:$C$104,RandF)&gt;=11),11,"")</f>
        <v/>
      </c>
      <c r="C31" s="31" t="str">
        <f>IF(AND(RandF&gt;0,INDEX(Calcul!$C$5:$C$104,RandF)&gt;=11),RIGHT("0"&amp;DAY(EDATE(INDEX('Registru mijloace fixe'!$R$5:$R$104,RandF),12*(11-1))),2)&amp;"."&amp;RIGHT("0"&amp;MONTH(EDATE(INDEX('Registru mijloace fixe'!$R$5:$R$104,RandF),12*(11-1))),2)&amp;"."&amp;YEAR(EDATE(INDEX('Registru mijloace fixe'!$R$5:$R$104,RandF),12*(11-1))),"")</f>
        <v/>
      </c>
      <c r="D31" s="31" t="str">
        <f>IF(AND(RandF&gt;0,INDEX(Calcul!$C$5:$C$104,RandF)&gt;=11),RIGHT("0"&amp;DAY(EDATE(INDEX('Registru mijloace fixe'!$R$5:$R$104,RandF),12*11)-1),2)&amp;"."&amp;RIGHT("0"&amp;MONTH(EDATE(INDEX('Registru mijloace fixe'!$R$5:$R$104,RandF),12*11)-1),2)&amp;"."&amp;YEAR(EDATE(INDEX('Registru mijloace fixe'!$R$5:$R$104,RandF),12*11)-1),"")</f>
        <v/>
      </c>
      <c r="E31" s="32" t="str">
        <f>IF(AND(RandF&gt;0,INDEX(Calcul!$C$5:$C$104,RandF)&gt;=11),IF(INDEX(Calcul!$D$5:$D$104,RandF)="Liniară",INDEX(Calcul!$B$5:$B$104,RandF)/INDEX(Calcul!$C$5:$C$104,RandF),INDEX(Calcul!$Q$5:$Q$104,RandF)),"")</f>
        <v/>
      </c>
      <c r="F31" s="32" t="str">
        <f>IF(AND(RandF&gt;0,INDEX(Calcul!$C$5:$C$104,RandF)&gt;=11),MIN(INDEX(Calcul!$B$5:$B$104,RandF),F30+E31),"")</f>
        <v/>
      </c>
      <c r="G31" s="32" t="str">
        <f>IF(AND(RandF&gt;0,INDEX(Calcul!$C$5:$C$104,RandF)&gt;=11),MAX(0,INDEX(Calcul!$B$5:$B$104,RandF)-F31),"")</f>
        <v/>
      </c>
      <c r="H31" s="33" t="str">
        <f>IF(NOT(AND(RandF&gt;0,INDEX(Calcul!$C$5:$C$104,RandF)&gt;=11)),"",IF(AND(LunaRef&gt;=EDATE(INDEX('Registru mijloace fixe'!$R$5:$R$104,RandF),12*(11-1)),LunaRef&lt;EDATE(INDEX('Registru mijloace fixe'!$R$5:$R$104,RandF),12*11)),"← anul curent",""))</f>
        <v/>
      </c>
    </row>
    <row r="32" spans="2:8" x14ac:dyDescent="0.2">
      <c r="B32" s="31" t="str">
        <f>IF(AND(RandF&gt;0,INDEX(Calcul!$C$5:$C$104,RandF)&gt;=12),12,"")</f>
        <v/>
      </c>
      <c r="C32" s="31" t="str">
        <f>IF(AND(RandF&gt;0,INDEX(Calcul!$C$5:$C$104,RandF)&gt;=12),RIGHT("0"&amp;DAY(EDATE(INDEX('Registru mijloace fixe'!$R$5:$R$104,RandF),12*(12-1))),2)&amp;"."&amp;RIGHT("0"&amp;MONTH(EDATE(INDEX('Registru mijloace fixe'!$R$5:$R$104,RandF),12*(12-1))),2)&amp;"."&amp;YEAR(EDATE(INDEX('Registru mijloace fixe'!$R$5:$R$104,RandF),12*(12-1))),"")</f>
        <v/>
      </c>
      <c r="D32" s="31" t="str">
        <f>IF(AND(RandF&gt;0,INDEX(Calcul!$C$5:$C$104,RandF)&gt;=12),RIGHT("0"&amp;DAY(EDATE(INDEX('Registru mijloace fixe'!$R$5:$R$104,RandF),12*12)-1),2)&amp;"."&amp;RIGHT("0"&amp;MONTH(EDATE(INDEX('Registru mijloace fixe'!$R$5:$R$104,RandF),12*12)-1),2)&amp;"."&amp;YEAR(EDATE(INDEX('Registru mijloace fixe'!$R$5:$R$104,RandF),12*12)-1),"")</f>
        <v/>
      </c>
      <c r="E32" s="32" t="str">
        <f>IF(AND(RandF&gt;0,INDEX(Calcul!$C$5:$C$104,RandF)&gt;=12),IF(INDEX(Calcul!$D$5:$D$104,RandF)="Liniară",INDEX(Calcul!$B$5:$B$104,RandF)/INDEX(Calcul!$C$5:$C$104,RandF),INDEX(Calcul!$R$5:$R$104,RandF)),"")</f>
        <v/>
      </c>
      <c r="F32" s="32" t="str">
        <f>IF(AND(RandF&gt;0,INDEX(Calcul!$C$5:$C$104,RandF)&gt;=12),MIN(INDEX(Calcul!$B$5:$B$104,RandF),F31+E32),"")</f>
        <v/>
      </c>
      <c r="G32" s="32" t="str">
        <f>IF(AND(RandF&gt;0,INDEX(Calcul!$C$5:$C$104,RandF)&gt;=12),MAX(0,INDEX(Calcul!$B$5:$B$104,RandF)-F32),"")</f>
        <v/>
      </c>
      <c r="H32" s="33" t="str">
        <f>IF(NOT(AND(RandF&gt;0,INDEX(Calcul!$C$5:$C$104,RandF)&gt;=12)),"",IF(AND(LunaRef&gt;=EDATE(INDEX('Registru mijloace fixe'!$R$5:$R$104,RandF),12*(12-1)),LunaRef&lt;EDATE(INDEX('Registru mijloace fixe'!$R$5:$R$104,RandF),12*12)),"← anul curent",""))</f>
        <v/>
      </c>
    </row>
    <row r="33" spans="2:8" x14ac:dyDescent="0.2">
      <c r="B33" s="31" t="str">
        <f>IF(AND(RandF&gt;0,INDEX(Calcul!$C$5:$C$104,RandF)&gt;=13),13,"")</f>
        <v/>
      </c>
      <c r="C33" s="31" t="str">
        <f>IF(AND(RandF&gt;0,INDEX(Calcul!$C$5:$C$104,RandF)&gt;=13),RIGHT("0"&amp;DAY(EDATE(INDEX('Registru mijloace fixe'!$R$5:$R$104,RandF),12*(13-1))),2)&amp;"."&amp;RIGHT("0"&amp;MONTH(EDATE(INDEX('Registru mijloace fixe'!$R$5:$R$104,RandF),12*(13-1))),2)&amp;"."&amp;YEAR(EDATE(INDEX('Registru mijloace fixe'!$R$5:$R$104,RandF),12*(13-1))),"")</f>
        <v/>
      </c>
      <c r="D33" s="31" t="str">
        <f>IF(AND(RandF&gt;0,INDEX(Calcul!$C$5:$C$104,RandF)&gt;=13),RIGHT("0"&amp;DAY(EDATE(INDEX('Registru mijloace fixe'!$R$5:$R$104,RandF),12*13)-1),2)&amp;"."&amp;RIGHT("0"&amp;MONTH(EDATE(INDEX('Registru mijloace fixe'!$R$5:$R$104,RandF),12*13)-1),2)&amp;"."&amp;YEAR(EDATE(INDEX('Registru mijloace fixe'!$R$5:$R$104,RandF),12*13)-1),"")</f>
        <v/>
      </c>
      <c r="E33" s="32" t="str">
        <f>IF(AND(RandF&gt;0,INDEX(Calcul!$C$5:$C$104,RandF)&gt;=13),IF(INDEX(Calcul!$D$5:$D$104,RandF)="Liniară",INDEX(Calcul!$B$5:$B$104,RandF)/INDEX(Calcul!$C$5:$C$104,RandF),INDEX(Calcul!$S$5:$S$104,RandF)),"")</f>
        <v/>
      </c>
      <c r="F33" s="32" t="str">
        <f>IF(AND(RandF&gt;0,INDEX(Calcul!$C$5:$C$104,RandF)&gt;=13),MIN(INDEX(Calcul!$B$5:$B$104,RandF),F32+E33),"")</f>
        <v/>
      </c>
      <c r="G33" s="32" t="str">
        <f>IF(AND(RandF&gt;0,INDEX(Calcul!$C$5:$C$104,RandF)&gt;=13),MAX(0,INDEX(Calcul!$B$5:$B$104,RandF)-F33),"")</f>
        <v/>
      </c>
      <c r="H33" s="33" t="str">
        <f>IF(NOT(AND(RandF&gt;0,INDEX(Calcul!$C$5:$C$104,RandF)&gt;=13)),"",IF(AND(LunaRef&gt;=EDATE(INDEX('Registru mijloace fixe'!$R$5:$R$104,RandF),12*(13-1)),LunaRef&lt;EDATE(INDEX('Registru mijloace fixe'!$R$5:$R$104,RandF),12*13)),"← anul curent",""))</f>
        <v/>
      </c>
    </row>
    <row r="34" spans="2:8" x14ac:dyDescent="0.2">
      <c r="B34" s="31" t="str">
        <f>IF(AND(RandF&gt;0,INDEX(Calcul!$C$5:$C$104,RandF)&gt;=14),14,"")</f>
        <v/>
      </c>
      <c r="C34" s="31" t="str">
        <f>IF(AND(RandF&gt;0,INDEX(Calcul!$C$5:$C$104,RandF)&gt;=14),RIGHT("0"&amp;DAY(EDATE(INDEX('Registru mijloace fixe'!$R$5:$R$104,RandF),12*(14-1))),2)&amp;"."&amp;RIGHT("0"&amp;MONTH(EDATE(INDEX('Registru mijloace fixe'!$R$5:$R$104,RandF),12*(14-1))),2)&amp;"."&amp;YEAR(EDATE(INDEX('Registru mijloace fixe'!$R$5:$R$104,RandF),12*(14-1))),"")</f>
        <v/>
      </c>
      <c r="D34" s="31" t="str">
        <f>IF(AND(RandF&gt;0,INDEX(Calcul!$C$5:$C$104,RandF)&gt;=14),RIGHT("0"&amp;DAY(EDATE(INDEX('Registru mijloace fixe'!$R$5:$R$104,RandF),12*14)-1),2)&amp;"."&amp;RIGHT("0"&amp;MONTH(EDATE(INDEX('Registru mijloace fixe'!$R$5:$R$104,RandF),12*14)-1),2)&amp;"."&amp;YEAR(EDATE(INDEX('Registru mijloace fixe'!$R$5:$R$104,RandF),12*14)-1),"")</f>
        <v/>
      </c>
      <c r="E34" s="32" t="str">
        <f>IF(AND(RandF&gt;0,INDEX(Calcul!$C$5:$C$104,RandF)&gt;=14),IF(INDEX(Calcul!$D$5:$D$104,RandF)="Liniară",INDEX(Calcul!$B$5:$B$104,RandF)/INDEX(Calcul!$C$5:$C$104,RandF),INDEX(Calcul!$T$5:$T$104,RandF)),"")</f>
        <v/>
      </c>
      <c r="F34" s="32" t="str">
        <f>IF(AND(RandF&gt;0,INDEX(Calcul!$C$5:$C$104,RandF)&gt;=14),MIN(INDEX(Calcul!$B$5:$B$104,RandF),F33+E34),"")</f>
        <v/>
      </c>
      <c r="G34" s="32" t="str">
        <f>IF(AND(RandF&gt;0,INDEX(Calcul!$C$5:$C$104,RandF)&gt;=14),MAX(0,INDEX(Calcul!$B$5:$B$104,RandF)-F34),"")</f>
        <v/>
      </c>
      <c r="H34" s="33" t="str">
        <f>IF(NOT(AND(RandF&gt;0,INDEX(Calcul!$C$5:$C$104,RandF)&gt;=14)),"",IF(AND(LunaRef&gt;=EDATE(INDEX('Registru mijloace fixe'!$R$5:$R$104,RandF),12*(14-1)),LunaRef&lt;EDATE(INDEX('Registru mijloace fixe'!$R$5:$R$104,RandF),12*14)),"← anul curent",""))</f>
        <v/>
      </c>
    </row>
    <row r="35" spans="2:8" x14ac:dyDescent="0.2">
      <c r="B35" s="31" t="str">
        <f>IF(AND(RandF&gt;0,INDEX(Calcul!$C$5:$C$104,RandF)&gt;=15),15,"")</f>
        <v/>
      </c>
      <c r="C35" s="31" t="str">
        <f>IF(AND(RandF&gt;0,INDEX(Calcul!$C$5:$C$104,RandF)&gt;=15),RIGHT("0"&amp;DAY(EDATE(INDEX('Registru mijloace fixe'!$R$5:$R$104,RandF),12*(15-1))),2)&amp;"."&amp;RIGHT("0"&amp;MONTH(EDATE(INDEX('Registru mijloace fixe'!$R$5:$R$104,RandF),12*(15-1))),2)&amp;"."&amp;YEAR(EDATE(INDEX('Registru mijloace fixe'!$R$5:$R$104,RandF),12*(15-1))),"")</f>
        <v/>
      </c>
      <c r="D35" s="31" t="str">
        <f>IF(AND(RandF&gt;0,INDEX(Calcul!$C$5:$C$104,RandF)&gt;=15),RIGHT("0"&amp;DAY(EDATE(INDEX('Registru mijloace fixe'!$R$5:$R$104,RandF),12*15)-1),2)&amp;"."&amp;RIGHT("0"&amp;MONTH(EDATE(INDEX('Registru mijloace fixe'!$R$5:$R$104,RandF),12*15)-1),2)&amp;"."&amp;YEAR(EDATE(INDEX('Registru mijloace fixe'!$R$5:$R$104,RandF),12*15)-1),"")</f>
        <v/>
      </c>
      <c r="E35" s="32" t="str">
        <f>IF(AND(RandF&gt;0,INDEX(Calcul!$C$5:$C$104,RandF)&gt;=15),IF(INDEX(Calcul!$D$5:$D$104,RandF)="Liniară",INDEX(Calcul!$B$5:$B$104,RandF)/INDEX(Calcul!$C$5:$C$104,RandF),INDEX(Calcul!$U$5:$U$104,RandF)),"")</f>
        <v/>
      </c>
      <c r="F35" s="32" t="str">
        <f>IF(AND(RandF&gt;0,INDEX(Calcul!$C$5:$C$104,RandF)&gt;=15),MIN(INDEX(Calcul!$B$5:$B$104,RandF),F34+E35),"")</f>
        <v/>
      </c>
      <c r="G35" s="32" t="str">
        <f>IF(AND(RandF&gt;0,INDEX(Calcul!$C$5:$C$104,RandF)&gt;=15),MAX(0,INDEX(Calcul!$B$5:$B$104,RandF)-F35),"")</f>
        <v/>
      </c>
      <c r="H35" s="33" t="str">
        <f>IF(NOT(AND(RandF&gt;0,INDEX(Calcul!$C$5:$C$104,RandF)&gt;=15)),"",IF(AND(LunaRef&gt;=EDATE(INDEX('Registru mijloace fixe'!$R$5:$R$104,RandF),12*(15-1)),LunaRef&lt;EDATE(INDEX('Registru mijloace fixe'!$R$5:$R$104,RandF),12*15)),"← anul curent",""))</f>
        <v/>
      </c>
    </row>
    <row r="36" spans="2:8" x14ac:dyDescent="0.2">
      <c r="B36" s="31" t="str">
        <f>IF(AND(RandF&gt;0,INDEX(Calcul!$C$5:$C$104,RandF)&gt;=16),16,"")</f>
        <v/>
      </c>
      <c r="C36" s="31" t="str">
        <f>IF(AND(RandF&gt;0,INDEX(Calcul!$C$5:$C$104,RandF)&gt;=16),RIGHT("0"&amp;DAY(EDATE(INDEX('Registru mijloace fixe'!$R$5:$R$104,RandF),12*(16-1))),2)&amp;"."&amp;RIGHT("0"&amp;MONTH(EDATE(INDEX('Registru mijloace fixe'!$R$5:$R$104,RandF),12*(16-1))),2)&amp;"."&amp;YEAR(EDATE(INDEX('Registru mijloace fixe'!$R$5:$R$104,RandF),12*(16-1))),"")</f>
        <v/>
      </c>
      <c r="D36" s="31" t="str">
        <f>IF(AND(RandF&gt;0,INDEX(Calcul!$C$5:$C$104,RandF)&gt;=16),RIGHT("0"&amp;DAY(EDATE(INDEX('Registru mijloace fixe'!$R$5:$R$104,RandF),12*16)-1),2)&amp;"."&amp;RIGHT("0"&amp;MONTH(EDATE(INDEX('Registru mijloace fixe'!$R$5:$R$104,RandF),12*16)-1),2)&amp;"."&amp;YEAR(EDATE(INDEX('Registru mijloace fixe'!$R$5:$R$104,RandF),12*16)-1),"")</f>
        <v/>
      </c>
      <c r="E36" s="32" t="str">
        <f>IF(AND(RandF&gt;0,INDEX(Calcul!$C$5:$C$104,RandF)&gt;=16),IF(INDEX(Calcul!$D$5:$D$104,RandF)="Liniară",INDEX(Calcul!$B$5:$B$104,RandF)/INDEX(Calcul!$C$5:$C$104,RandF),INDEX(Calcul!$V$5:$V$104,RandF)),"")</f>
        <v/>
      </c>
      <c r="F36" s="32" t="str">
        <f>IF(AND(RandF&gt;0,INDEX(Calcul!$C$5:$C$104,RandF)&gt;=16),MIN(INDEX(Calcul!$B$5:$B$104,RandF),F35+E36),"")</f>
        <v/>
      </c>
      <c r="G36" s="32" t="str">
        <f>IF(AND(RandF&gt;0,INDEX(Calcul!$C$5:$C$104,RandF)&gt;=16),MAX(0,INDEX(Calcul!$B$5:$B$104,RandF)-F36),"")</f>
        <v/>
      </c>
      <c r="H36" s="33" t="str">
        <f>IF(NOT(AND(RandF&gt;0,INDEX(Calcul!$C$5:$C$104,RandF)&gt;=16)),"",IF(AND(LunaRef&gt;=EDATE(INDEX('Registru mijloace fixe'!$R$5:$R$104,RandF),12*(16-1)),LunaRef&lt;EDATE(INDEX('Registru mijloace fixe'!$R$5:$R$104,RandF),12*16)),"← anul curent",""))</f>
        <v/>
      </c>
    </row>
    <row r="37" spans="2:8" x14ac:dyDescent="0.2">
      <c r="B37" s="31" t="str">
        <f>IF(AND(RandF&gt;0,INDEX(Calcul!$C$5:$C$104,RandF)&gt;=17),17,"")</f>
        <v/>
      </c>
      <c r="C37" s="31" t="str">
        <f>IF(AND(RandF&gt;0,INDEX(Calcul!$C$5:$C$104,RandF)&gt;=17),RIGHT("0"&amp;DAY(EDATE(INDEX('Registru mijloace fixe'!$R$5:$R$104,RandF),12*(17-1))),2)&amp;"."&amp;RIGHT("0"&amp;MONTH(EDATE(INDEX('Registru mijloace fixe'!$R$5:$R$104,RandF),12*(17-1))),2)&amp;"."&amp;YEAR(EDATE(INDEX('Registru mijloace fixe'!$R$5:$R$104,RandF),12*(17-1))),"")</f>
        <v/>
      </c>
      <c r="D37" s="31" t="str">
        <f>IF(AND(RandF&gt;0,INDEX(Calcul!$C$5:$C$104,RandF)&gt;=17),RIGHT("0"&amp;DAY(EDATE(INDEX('Registru mijloace fixe'!$R$5:$R$104,RandF),12*17)-1),2)&amp;"."&amp;RIGHT("0"&amp;MONTH(EDATE(INDEX('Registru mijloace fixe'!$R$5:$R$104,RandF),12*17)-1),2)&amp;"."&amp;YEAR(EDATE(INDEX('Registru mijloace fixe'!$R$5:$R$104,RandF),12*17)-1),"")</f>
        <v/>
      </c>
      <c r="E37" s="32" t="str">
        <f>IF(AND(RandF&gt;0,INDEX(Calcul!$C$5:$C$104,RandF)&gt;=17),IF(INDEX(Calcul!$D$5:$D$104,RandF)="Liniară",INDEX(Calcul!$B$5:$B$104,RandF)/INDEX(Calcul!$C$5:$C$104,RandF),INDEX(Calcul!$W$5:$W$104,RandF)),"")</f>
        <v/>
      </c>
      <c r="F37" s="32" t="str">
        <f>IF(AND(RandF&gt;0,INDEX(Calcul!$C$5:$C$104,RandF)&gt;=17),MIN(INDEX(Calcul!$B$5:$B$104,RandF),F36+E37),"")</f>
        <v/>
      </c>
      <c r="G37" s="32" t="str">
        <f>IF(AND(RandF&gt;0,INDEX(Calcul!$C$5:$C$104,RandF)&gt;=17),MAX(0,INDEX(Calcul!$B$5:$B$104,RandF)-F37),"")</f>
        <v/>
      </c>
      <c r="H37" s="33" t="str">
        <f>IF(NOT(AND(RandF&gt;0,INDEX(Calcul!$C$5:$C$104,RandF)&gt;=17)),"",IF(AND(LunaRef&gt;=EDATE(INDEX('Registru mijloace fixe'!$R$5:$R$104,RandF),12*(17-1)),LunaRef&lt;EDATE(INDEX('Registru mijloace fixe'!$R$5:$R$104,RandF),12*17)),"← anul curent",""))</f>
        <v/>
      </c>
    </row>
    <row r="38" spans="2:8" x14ac:dyDescent="0.2">
      <c r="B38" s="31" t="str">
        <f>IF(AND(RandF&gt;0,INDEX(Calcul!$C$5:$C$104,RandF)&gt;=18),18,"")</f>
        <v/>
      </c>
      <c r="C38" s="31" t="str">
        <f>IF(AND(RandF&gt;0,INDEX(Calcul!$C$5:$C$104,RandF)&gt;=18),RIGHT("0"&amp;DAY(EDATE(INDEX('Registru mijloace fixe'!$R$5:$R$104,RandF),12*(18-1))),2)&amp;"."&amp;RIGHT("0"&amp;MONTH(EDATE(INDEX('Registru mijloace fixe'!$R$5:$R$104,RandF),12*(18-1))),2)&amp;"."&amp;YEAR(EDATE(INDEX('Registru mijloace fixe'!$R$5:$R$104,RandF),12*(18-1))),"")</f>
        <v/>
      </c>
      <c r="D38" s="31" t="str">
        <f>IF(AND(RandF&gt;0,INDEX(Calcul!$C$5:$C$104,RandF)&gt;=18),RIGHT("0"&amp;DAY(EDATE(INDEX('Registru mijloace fixe'!$R$5:$R$104,RandF),12*18)-1),2)&amp;"."&amp;RIGHT("0"&amp;MONTH(EDATE(INDEX('Registru mijloace fixe'!$R$5:$R$104,RandF),12*18)-1),2)&amp;"."&amp;YEAR(EDATE(INDEX('Registru mijloace fixe'!$R$5:$R$104,RandF),12*18)-1),"")</f>
        <v/>
      </c>
      <c r="E38" s="32" t="str">
        <f>IF(AND(RandF&gt;0,INDEX(Calcul!$C$5:$C$104,RandF)&gt;=18),IF(INDEX(Calcul!$D$5:$D$104,RandF)="Liniară",INDEX(Calcul!$B$5:$B$104,RandF)/INDEX(Calcul!$C$5:$C$104,RandF),INDEX(Calcul!$X$5:$X$104,RandF)),"")</f>
        <v/>
      </c>
      <c r="F38" s="32" t="str">
        <f>IF(AND(RandF&gt;0,INDEX(Calcul!$C$5:$C$104,RandF)&gt;=18),MIN(INDEX(Calcul!$B$5:$B$104,RandF),F37+E38),"")</f>
        <v/>
      </c>
      <c r="G38" s="32" t="str">
        <f>IF(AND(RandF&gt;0,INDEX(Calcul!$C$5:$C$104,RandF)&gt;=18),MAX(0,INDEX(Calcul!$B$5:$B$104,RandF)-F38),"")</f>
        <v/>
      </c>
      <c r="H38" s="33" t="str">
        <f>IF(NOT(AND(RandF&gt;0,INDEX(Calcul!$C$5:$C$104,RandF)&gt;=18)),"",IF(AND(LunaRef&gt;=EDATE(INDEX('Registru mijloace fixe'!$R$5:$R$104,RandF),12*(18-1)),LunaRef&lt;EDATE(INDEX('Registru mijloace fixe'!$R$5:$R$104,RandF),12*18)),"← anul curent",""))</f>
        <v/>
      </c>
    </row>
    <row r="39" spans="2:8" x14ac:dyDescent="0.2">
      <c r="B39" s="31" t="str">
        <f>IF(AND(RandF&gt;0,INDEX(Calcul!$C$5:$C$104,RandF)&gt;=19),19,"")</f>
        <v/>
      </c>
      <c r="C39" s="31" t="str">
        <f>IF(AND(RandF&gt;0,INDEX(Calcul!$C$5:$C$104,RandF)&gt;=19),RIGHT("0"&amp;DAY(EDATE(INDEX('Registru mijloace fixe'!$R$5:$R$104,RandF),12*(19-1))),2)&amp;"."&amp;RIGHT("0"&amp;MONTH(EDATE(INDEX('Registru mijloace fixe'!$R$5:$R$104,RandF),12*(19-1))),2)&amp;"."&amp;YEAR(EDATE(INDEX('Registru mijloace fixe'!$R$5:$R$104,RandF),12*(19-1))),"")</f>
        <v/>
      </c>
      <c r="D39" s="31" t="str">
        <f>IF(AND(RandF&gt;0,INDEX(Calcul!$C$5:$C$104,RandF)&gt;=19),RIGHT("0"&amp;DAY(EDATE(INDEX('Registru mijloace fixe'!$R$5:$R$104,RandF),12*19)-1),2)&amp;"."&amp;RIGHT("0"&amp;MONTH(EDATE(INDEX('Registru mijloace fixe'!$R$5:$R$104,RandF),12*19)-1),2)&amp;"."&amp;YEAR(EDATE(INDEX('Registru mijloace fixe'!$R$5:$R$104,RandF),12*19)-1),"")</f>
        <v/>
      </c>
      <c r="E39" s="32" t="str">
        <f>IF(AND(RandF&gt;0,INDEX(Calcul!$C$5:$C$104,RandF)&gt;=19),IF(INDEX(Calcul!$D$5:$D$104,RandF)="Liniară",INDEX(Calcul!$B$5:$B$104,RandF)/INDEX(Calcul!$C$5:$C$104,RandF),INDEX(Calcul!$Y$5:$Y$104,RandF)),"")</f>
        <v/>
      </c>
      <c r="F39" s="32" t="str">
        <f>IF(AND(RandF&gt;0,INDEX(Calcul!$C$5:$C$104,RandF)&gt;=19),MIN(INDEX(Calcul!$B$5:$B$104,RandF),F38+E39),"")</f>
        <v/>
      </c>
      <c r="G39" s="32" t="str">
        <f>IF(AND(RandF&gt;0,INDEX(Calcul!$C$5:$C$104,RandF)&gt;=19),MAX(0,INDEX(Calcul!$B$5:$B$104,RandF)-F39),"")</f>
        <v/>
      </c>
      <c r="H39" s="33" t="str">
        <f>IF(NOT(AND(RandF&gt;0,INDEX(Calcul!$C$5:$C$104,RandF)&gt;=19)),"",IF(AND(LunaRef&gt;=EDATE(INDEX('Registru mijloace fixe'!$R$5:$R$104,RandF),12*(19-1)),LunaRef&lt;EDATE(INDEX('Registru mijloace fixe'!$R$5:$R$104,RandF),12*19)),"← anul curent",""))</f>
        <v/>
      </c>
    </row>
    <row r="40" spans="2:8" x14ac:dyDescent="0.2">
      <c r="B40" s="31" t="str">
        <f>IF(AND(RandF&gt;0,INDEX(Calcul!$C$5:$C$104,RandF)&gt;=20),20,"")</f>
        <v/>
      </c>
      <c r="C40" s="31" t="str">
        <f>IF(AND(RandF&gt;0,INDEX(Calcul!$C$5:$C$104,RandF)&gt;=20),RIGHT("0"&amp;DAY(EDATE(INDEX('Registru mijloace fixe'!$R$5:$R$104,RandF),12*(20-1))),2)&amp;"."&amp;RIGHT("0"&amp;MONTH(EDATE(INDEX('Registru mijloace fixe'!$R$5:$R$104,RandF),12*(20-1))),2)&amp;"."&amp;YEAR(EDATE(INDEX('Registru mijloace fixe'!$R$5:$R$104,RandF),12*(20-1))),"")</f>
        <v/>
      </c>
      <c r="D40" s="31" t="str">
        <f>IF(AND(RandF&gt;0,INDEX(Calcul!$C$5:$C$104,RandF)&gt;=20),RIGHT("0"&amp;DAY(EDATE(INDEX('Registru mijloace fixe'!$R$5:$R$104,RandF),12*20)-1),2)&amp;"."&amp;RIGHT("0"&amp;MONTH(EDATE(INDEX('Registru mijloace fixe'!$R$5:$R$104,RandF),12*20)-1),2)&amp;"."&amp;YEAR(EDATE(INDEX('Registru mijloace fixe'!$R$5:$R$104,RandF),12*20)-1),"")</f>
        <v/>
      </c>
      <c r="E40" s="32" t="str">
        <f>IF(AND(RandF&gt;0,INDEX(Calcul!$C$5:$C$104,RandF)&gt;=20),IF(INDEX(Calcul!$D$5:$D$104,RandF)="Liniară",INDEX(Calcul!$B$5:$B$104,RandF)/INDEX(Calcul!$C$5:$C$104,RandF),INDEX(Calcul!$Z$5:$Z$104,RandF)),"")</f>
        <v/>
      </c>
      <c r="F40" s="32" t="str">
        <f>IF(AND(RandF&gt;0,INDEX(Calcul!$C$5:$C$104,RandF)&gt;=20),MIN(INDEX(Calcul!$B$5:$B$104,RandF),F39+E40),"")</f>
        <v/>
      </c>
      <c r="G40" s="32" t="str">
        <f>IF(AND(RandF&gt;0,INDEX(Calcul!$C$5:$C$104,RandF)&gt;=20),MAX(0,INDEX(Calcul!$B$5:$B$104,RandF)-F40),"")</f>
        <v/>
      </c>
      <c r="H40" s="33" t="str">
        <f>IF(NOT(AND(RandF&gt;0,INDEX(Calcul!$C$5:$C$104,RandF)&gt;=20)),"",IF(AND(LunaRef&gt;=EDATE(INDEX('Registru mijloace fixe'!$R$5:$R$104,RandF),12*(20-1)),LunaRef&lt;EDATE(INDEX('Registru mijloace fixe'!$R$5:$R$104,RandF),12*20)),"← anul curent",""))</f>
        <v/>
      </c>
    </row>
    <row r="41" spans="2:8" x14ac:dyDescent="0.2">
      <c r="B41" s="31" t="str">
        <f>IF(AND(RandF&gt;0,INDEX(Calcul!$C$5:$C$104,RandF)&gt;=21),21,"")</f>
        <v/>
      </c>
      <c r="C41" s="31" t="str">
        <f>IF(AND(RandF&gt;0,INDEX(Calcul!$C$5:$C$104,RandF)&gt;=21),RIGHT("0"&amp;DAY(EDATE(INDEX('Registru mijloace fixe'!$R$5:$R$104,RandF),12*(21-1))),2)&amp;"."&amp;RIGHT("0"&amp;MONTH(EDATE(INDEX('Registru mijloace fixe'!$R$5:$R$104,RandF),12*(21-1))),2)&amp;"."&amp;YEAR(EDATE(INDEX('Registru mijloace fixe'!$R$5:$R$104,RandF),12*(21-1))),"")</f>
        <v/>
      </c>
      <c r="D41" s="31" t="str">
        <f>IF(AND(RandF&gt;0,INDEX(Calcul!$C$5:$C$104,RandF)&gt;=21),RIGHT("0"&amp;DAY(EDATE(INDEX('Registru mijloace fixe'!$R$5:$R$104,RandF),12*21)-1),2)&amp;"."&amp;RIGHT("0"&amp;MONTH(EDATE(INDEX('Registru mijloace fixe'!$R$5:$R$104,RandF),12*21)-1),2)&amp;"."&amp;YEAR(EDATE(INDEX('Registru mijloace fixe'!$R$5:$R$104,RandF),12*21)-1),"")</f>
        <v/>
      </c>
      <c r="E41" s="32" t="str">
        <f>IF(AND(RandF&gt;0,INDEX(Calcul!$C$5:$C$104,RandF)&gt;=21),IF(INDEX(Calcul!$D$5:$D$104,RandF)="Liniară",INDEX(Calcul!$B$5:$B$104,RandF)/INDEX(Calcul!$C$5:$C$104,RandF),INDEX(Calcul!$AA$5:$AA$104,RandF)),"")</f>
        <v/>
      </c>
      <c r="F41" s="32" t="str">
        <f>IF(AND(RandF&gt;0,INDEX(Calcul!$C$5:$C$104,RandF)&gt;=21),MIN(INDEX(Calcul!$B$5:$B$104,RandF),F40+E41),"")</f>
        <v/>
      </c>
      <c r="G41" s="32" t="str">
        <f>IF(AND(RandF&gt;0,INDEX(Calcul!$C$5:$C$104,RandF)&gt;=21),MAX(0,INDEX(Calcul!$B$5:$B$104,RandF)-F41),"")</f>
        <v/>
      </c>
      <c r="H41" s="33" t="str">
        <f>IF(NOT(AND(RandF&gt;0,INDEX(Calcul!$C$5:$C$104,RandF)&gt;=21)),"",IF(AND(LunaRef&gt;=EDATE(INDEX('Registru mijloace fixe'!$R$5:$R$104,RandF),12*(21-1)),LunaRef&lt;EDATE(INDEX('Registru mijloace fixe'!$R$5:$R$104,RandF),12*21)),"← anul curent",""))</f>
        <v/>
      </c>
    </row>
    <row r="42" spans="2:8" x14ac:dyDescent="0.2">
      <c r="B42" s="31" t="str">
        <f>IF(AND(RandF&gt;0,INDEX(Calcul!$C$5:$C$104,RandF)&gt;=22),22,"")</f>
        <v/>
      </c>
      <c r="C42" s="31" t="str">
        <f>IF(AND(RandF&gt;0,INDEX(Calcul!$C$5:$C$104,RandF)&gt;=22),RIGHT("0"&amp;DAY(EDATE(INDEX('Registru mijloace fixe'!$R$5:$R$104,RandF),12*(22-1))),2)&amp;"."&amp;RIGHT("0"&amp;MONTH(EDATE(INDEX('Registru mijloace fixe'!$R$5:$R$104,RandF),12*(22-1))),2)&amp;"."&amp;YEAR(EDATE(INDEX('Registru mijloace fixe'!$R$5:$R$104,RandF),12*(22-1))),"")</f>
        <v/>
      </c>
      <c r="D42" s="31" t="str">
        <f>IF(AND(RandF&gt;0,INDEX(Calcul!$C$5:$C$104,RandF)&gt;=22),RIGHT("0"&amp;DAY(EDATE(INDEX('Registru mijloace fixe'!$R$5:$R$104,RandF),12*22)-1),2)&amp;"."&amp;RIGHT("0"&amp;MONTH(EDATE(INDEX('Registru mijloace fixe'!$R$5:$R$104,RandF),12*22)-1),2)&amp;"."&amp;YEAR(EDATE(INDEX('Registru mijloace fixe'!$R$5:$R$104,RandF),12*22)-1),"")</f>
        <v/>
      </c>
      <c r="E42" s="32" t="str">
        <f>IF(AND(RandF&gt;0,INDEX(Calcul!$C$5:$C$104,RandF)&gt;=22),IF(INDEX(Calcul!$D$5:$D$104,RandF)="Liniară",INDEX(Calcul!$B$5:$B$104,RandF)/INDEX(Calcul!$C$5:$C$104,RandF),INDEX(Calcul!$AB$5:$AB$104,RandF)),"")</f>
        <v/>
      </c>
      <c r="F42" s="32" t="str">
        <f>IF(AND(RandF&gt;0,INDEX(Calcul!$C$5:$C$104,RandF)&gt;=22),MIN(INDEX(Calcul!$B$5:$B$104,RandF),F41+E42),"")</f>
        <v/>
      </c>
      <c r="G42" s="32" t="str">
        <f>IF(AND(RandF&gt;0,INDEX(Calcul!$C$5:$C$104,RandF)&gt;=22),MAX(0,INDEX(Calcul!$B$5:$B$104,RandF)-F42),"")</f>
        <v/>
      </c>
      <c r="H42" s="33" t="str">
        <f>IF(NOT(AND(RandF&gt;0,INDEX(Calcul!$C$5:$C$104,RandF)&gt;=22)),"",IF(AND(LunaRef&gt;=EDATE(INDEX('Registru mijloace fixe'!$R$5:$R$104,RandF),12*(22-1)),LunaRef&lt;EDATE(INDEX('Registru mijloace fixe'!$R$5:$R$104,RandF),12*22)),"← anul curent",""))</f>
        <v/>
      </c>
    </row>
    <row r="43" spans="2:8" x14ac:dyDescent="0.2">
      <c r="B43" s="31" t="str">
        <f>IF(AND(RandF&gt;0,INDEX(Calcul!$C$5:$C$104,RandF)&gt;=23),23,"")</f>
        <v/>
      </c>
      <c r="C43" s="31" t="str">
        <f>IF(AND(RandF&gt;0,INDEX(Calcul!$C$5:$C$104,RandF)&gt;=23),RIGHT("0"&amp;DAY(EDATE(INDEX('Registru mijloace fixe'!$R$5:$R$104,RandF),12*(23-1))),2)&amp;"."&amp;RIGHT("0"&amp;MONTH(EDATE(INDEX('Registru mijloace fixe'!$R$5:$R$104,RandF),12*(23-1))),2)&amp;"."&amp;YEAR(EDATE(INDEX('Registru mijloace fixe'!$R$5:$R$104,RandF),12*(23-1))),"")</f>
        <v/>
      </c>
      <c r="D43" s="31" t="str">
        <f>IF(AND(RandF&gt;0,INDEX(Calcul!$C$5:$C$104,RandF)&gt;=23),RIGHT("0"&amp;DAY(EDATE(INDEX('Registru mijloace fixe'!$R$5:$R$104,RandF),12*23)-1),2)&amp;"."&amp;RIGHT("0"&amp;MONTH(EDATE(INDEX('Registru mijloace fixe'!$R$5:$R$104,RandF),12*23)-1),2)&amp;"."&amp;YEAR(EDATE(INDEX('Registru mijloace fixe'!$R$5:$R$104,RandF),12*23)-1),"")</f>
        <v/>
      </c>
      <c r="E43" s="32" t="str">
        <f>IF(AND(RandF&gt;0,INDEX(Calcul!$C$5:$C$104,RandF)&gt;=23),IF(INDEX(Calcul!$D$5:$D$104,RandF)="Liniară",INDEX(Calcul!$B$5:$B$104,RandF)/INDEX(Calcul!$C$5:$C$104,RandF),INDEX(Calcul!$AC$5:$AC$104,RandF)),"")</f>
        <v/>
      </c>
      <c r="F43" s="32" t="str">
        <f>IF(AND(RandF&gt;0,INDEX(Calcul!$C$5:$C$104,RandF)&gt;=23),MIN(INDEX(Calcul!$B$5:$B$104,RandF),F42+E43),"")</f>
        <v/>
      </c>
      <c r="G43" s="32" t="str">
        <f>IF(AND(RandF&gt;0,INDEX(Calcul!$C$5:$C$104,RandF)&gt;=23),MAX(0,INDEX(Calcul!$B$5:$B$104,RandF)-F43),"")</f>
        <v/>
      </c>
      <c r="H43" s="33" t="str">
        <f>IF(NOT(AND(RandF&gt;0,INDEX(Calcul!$C$5:$C$104,RandF)&gt;=23)),"",IF(AND(LunaRef&gt;=EDATE(INDEX('Registru mijloace fixe'!$R$5:$R$104,RandF),12*(23-1)),LunaRef&lt;EDATE(INDEX('Registru mijloace fixe'!$R$5:$R$104,RandF),12*23)),"← anul curent",""))</f>
        <v/>
      </c>
    </row>
    <row r="44" spans="2:8" x14ac:dyDescent="0.2">
      <c r="B44" s="31" t="str">
        <f>IF(AND(RandF&gt;0,INDEX(Calcul!$C$5:$C$104,RandF)&gt;=24),24,"")</f>
        <v/>
      </c>
      <c r="C44" s="31" t="str">
        <f>IF(AND(RandF&gt;0,INDEX(Calcul!$C$5:$C$104,RandF)&gt;=24),RIGHT("0"&amp;DAY(EDATE(INDEX('Registru mijloace fixe'!$R$5:$R$104,RandF),12*(24-1))),2)&amp;"."&amp;RIGHT("0"&amp;MONTH(EDATE(INDEX('Registru mijloace fixe'!$R$5:$R$104,RandF),12*(24-1))),2)&amp;"."&amp;YEAR(EDATE(INDEX('Registru mijloace fixe'!$R$5:$R$104,RandF),12*(24-1))),"")</f>
        <v/>
      </c>
      <c r="D44" s="31" t="str">
        <f>IF(AND(RandF&gt;0,INDEX(Calcul!$C$5:$C$104,RandF)&gt;=24),RIGHT("0"&amp;DAY(EDATE(INDEX('Registru mijloace fixe'!$R$5:$R$104,RandF),12*24)-1),2)&amp;"."&amp;RIGHT("0"&amp;MONTH(EDATE(INDEX('Registru mijloace fixe'!$R$5:$R$104,RandF),12*24)-1),2)&amp;"."&amp;YEAR(EDATE(INDEX('Registru mijloace fixe'!$R$5:$R$104,RandF),12*24)-1),"")</f>
        <v/>
      </c>
      <c r="E44" s="32" t="str">
        <f>IF(AND(RandF&gt;0,INDEX(Calcul!$C$5:$C$104,RandF)&gt;=24),IF(INDEX(Calcul!$D$5:$D$104,RandF)="Liniară",INDEX(Calcul!$B$5:$B$104,RandF)/INDEX(Calcul!$C$5:$C$104,RandF),INDEX(Calcul!$AD$5:$AD$104,RandF)),"")</f>
        <v/>
      </c>
      <c r="F44" s="32" t="str">
        <f>IF(AND(RandF&gt;0,INDEX(Calcul!$C$5:$C$104,RandF)&gt;=24),MIN(INDEX(Calcul!$B$5:$B$104,RandF),F43+E44),"")</f>
        <v/>
      </c>
      <c r="G44" s="32" t="str">
        <f>IF(AND(RandF&gt;0,INDEX(Calcul!$C$5:$C$104,RandF)&gt;=24),MAX(0,INDEX(Calcul!$B$5:$B$104,RandF)-F44),"")</f>
        <v/>
      </c>
      <c r="H44" s="33" t="str">
        <f>IF(NOT(AND(RandF&gt;0,INDEX(Calcul!$C$5:$C$104,RandF)&gt;=24)),"",IF(AND(LunaRef&gt;=EDATE(INDEX('Registru mijloace fixe'!$R$5:$R$104,RandF),12*(24-1)),LunaRef&lt;EDATE(INDEX('Registru mijloace fixe'!$R$5:$R$104,RandF),12*24)),"← anul curent",""))</f>
        <v/>
      </c>
    </row>
    <row r="45" spans="2:8" x14ac:dyDescent="0.2">
      <c r="B45" s="31" t="str">
        <f>IF(AND(RandF&gt;0,INDEX(Calcul!$C$5:$C$104,RandF)&gt;=25),25,"")</f>
        <v/>
      </c>
      <c r="C45" s="31" t="str">
        <f>IF(AND(RandF&gt;0,INDEX(Calcul!$C$5:$C$104,RandF)&gt;=25),RIGHT("0"&amp;DAY(EDATE(INDEX('Registru mijloace fixe'!$R$5:$R$104,RandF),12*(25-1))),2)&amp;"."&amp;RIGHT("0"&amp;MONTH(EDATE(INDEX('Registru mijloace fixe'!$R$5:$R$104,RandF),12*(25-1))),2)&amp;"."&amp;YEAR(EDATE(INDEX('Registru mijloace fixe'!$R$5:$R$104,RandF),12*(25-1))),"")</f>
        <v/>
      </c>
      <c r="D45" s="31" t="str">
        <f>IF(AND(RandF&gt;0,INDEX(Calcul!$C$5:$C$104,RandF)&gt;=25),RIGHT("0"&amp;DAY(EDATE(INDEX('Registru mijloace fixe'!$R$5:$R$104,RandF),12*25)-1),2)&amp;"."&amp;RIGHT("0"&amp;MONTH(EDATE(INDEX('Registru mijloace fixe'!$R$5:$R$104,RandF),12*25)-1),2)&amp;"."&amp;YEAR(EDATE(INDEX('Registru mijloace fixe'!$R$5:$R$104,RandF),12*25)-1),"")</f>
        <v/>
      </c>
      <c r="E45" s="32" t="str">
        <f>IF(AND(RandF&gt;0,INDEX(Calcul!$C$5:$C$104,RandF)&gt;=25),IF(INDEX(Calcul!$D$5:$D$104,RandF)="Liniară",INDEX(Calcul!$B$5:$B$104,RandF)/INDEX(Calcul!$C$5:$C$104,RandF),INDEX(Calcul!$AE$5:$AE$104,RandF)),"")</f>
        <v/>
      </c>
      <c r="F45" s="32" t="str">
        <f>IF(AND(RandF&gt;0,INDEX(Calcul!$C$5:$C$104,RandF)&gt;=25),MIN(INDEX(Calcul!$B$5:$B$104,RandF),F44+E45),"")</f>
        <v/>
      </c>
      <c r="G45" s="32" t="str">
        <f>IF(AND(RandF&gt;0,INDEX(Calcul!$C$5:$C$104,RandF)&gt;=25),MAX(0,INDEX(Calcul!$B$5:$B$104,RandF)-F45),"")</f>
        <v/>
      </c>
      <c r="H45" s="33" t="str">
        <f>IF(NOT(AND(RandF&gt;0,INDEX(Calcul!$C$5:$C$104,RandF)&gt;=25)),"",IF(AND(LunaRef&gt;=EDATE(INDEX('Registru mijloace fixe'!$R$5:$R$104,RandF),12*(25-1)),LunaRef&lt;EDATE(INDEX('Registru mijloace fixe'!$R$5:$R$104,RandF),12*25)),"← anul curent",""))</f>
        <v/>
      </c>
    </row>
    <row r="46" spans="2:8" x14ac:dyDescent="0.2">
      <c r="B46" s="31" t="str">
        <f>IF(AND(RandF&gt;0,INDEX(Calcul!$C$5:$C$104,RandF)&gt;=26),26,"")</f>
        <v/>
      </c>
      <c r="C46" s="31" t="str">
        <f>IF(AND(RandF&gt;0,INDEX(Calcul!$C$5:$C$104,RandF)&gt;=26),RIGHT("0"&amp;DAY(EDATE(INDEX('Registru mijloace fixe'!$R$5:$R$104,RandF),12*(26-1))),2)&amp;"."&amp;RIGHT("0"&amp;MONTH(EDATE(INDEX('Registru mijloace fixe'!$R$5:$R$104,RandF),12*(26-1))),2)&amp;"."&amp;YEAR(EDATE(INDEX('Registru mijloace fixe'!$R$5:$R$104,RandF),12*(26-1))),"")</f>
        <v/>
      </c>
      <c r="D46" s="31" t="str">
        <f>IF(AND(RandF&gt;0,INDEX(Calcul!$C$5:$C$104,RandF)&gt;=26),RIGHT("0"&amp;DAY(EDATE(INDEX('Registru mijloace fixe'!$R$5:$R$104,RandF),12*26)-1),2)&amp;"."&amp;RIGHT("0"&amp;MONTH(EDATE(INDEX('Registru mijloace fixe'!$R$5:$R$104,RandF),12*26)-1),2)&amp;"."&amp;YEAR(EDATE(INDEX('Registru mijloace fixe'!$R$5:$R$104,RandF),12*26)-1),"")</f>
        <v/>
      </c>
      <c r="E46" s="32" t="str">
        <f>IF(AND(RandF&gt;0,INDEX(Calcul!$C$5:$C$104,RandF)&gt;=26),IF(INDEX(Calcul!$D$5:$D$104,RandF)="Liniară",INDEX(Calcul!$B$5:$B$104,RandF)/INDEX(Calcul!$C$5:$C$104,RandF),INDEX(Calcul!$AF$5:$AF$104,RandF)),"")</f>
        <v/>
      </c>
      <c r="F46" s="32" t="str">
        <f>IF(AND(RandF&gt;0,INDEX(Calcul!$C$5:$C$104,RandF)&gt;=26),MIN(INDEX(Calcul!$B$5:$B$104,RandF),F45+E46),"")</f>
        <v/>
      </c>
      <c r="G46" s="32" t="str">
        <f>IF(AND(RandF&gt;0,INDEX(Calcul!$C$5:$C$104,RandF)&gt;=26),MAX(0,INDEX(Calcul!$B$5:$B$104,RandF)-F46),"")</f>
        <v/>
      </c>
      <c r="H46" s="33" t="str">
        <f>IF(NOT(AND(RandF&gt;0,INDEX(Calcul!$C$5:$C$104,RandF)&gt;=26)),"",IF(AND(LunaRef&gt;=EDATE(INDEX('Registru mijloace fixe'!$R$5:$R$104,RandF),12*(26-1)),LunaRef&lt;EDATE(INDEX('Registru mijloace fixe'!$R$5:$R$104,RandF),12*26)),"← anul curent",""))</f>
        <v/>
      </c>
    </row>
    <row r="47" spans="2:8" x14ac:dyDescent="0.2">
      <c r="B47" s="31" t="str">
        <f>IF(AND(RandF&gt;0,INDEX(Calcul!$C$5:$C$104,RandF)&gt;=27),27,"")</f>
        <v/>
      </c>
      <c r="C47" s="31" t="str">
        <f>IF(AND(RandF&gt;0,INDEX(Calcul!$C$5:$C$104,RandF)&gt;=27),RIGHT("0"&amp;DAY(EDATE(INDEX('Registru mijloace fixe'!$R$5:$R$104,RandF),12*(27-1))),2)&amp;"."&amp;RIGHT("0"&amp;MONTH(EDATE(INDEX('Registru mijloace fixe'!$R$5:$R$104,RandF),12*(27-1))),2)&amp;"."&amp;YEAR(EDATE(INDEX('Registru mijloace fixe'!$R$5:$R$104,RandF),12*(27-1))),"")</f>
        <v/>
      </c>
      <c r="D47" s="31" t="str">
        <f>IF(AND(RandF&gt;0,INDEX(Calcul!$C$5:$C$104,RandF)&gt;=27),RIGHT("0"&amp;DAY(EDATE(INDEX('Registru mijloace fixe'!$R$5:$R$104,RandF),12*27)-1),2)&amp;"."&amp;RIGHT("0"&amp;MONTH(EDATE(INDEX('Registru mijloace fixe'!$R$5:$R$104,RandF),12*27)-1),2)&amp;"."&amp;YEAR(EDATE(INDEX('Registru mijloace fixe'!$R$5:$R$104,RandF),12*27)-1),"")</f>
        <v/>
      </c>
      <c r="E47" s="32" t="str">
        <f>IF(AND(RandF&gt;0,INDEX(Calcul!$C$5:$C$104,RandF)&gt;=27),IF(INDEX(Calcul!$D$5:$D$104,RandF)="Liniară",INDEX(Calcul!$B$5:$B$104,RandF)/INDEX(Calcul!$C$5:$C$104,RandF),INDEX(Calcul!$AG$5:$AG$104,RandF)),"")</f>
        <v/>
      </c>
      <c r="F47" s="32" t="str">
        <f>IF(AND(RandF&gt;0,INDEX(Calcul!$C$5:$C$104,RandF)&gt;=27),MIN(INDEX(Calcul!$B$5:$B$104,RandF),F46+E47),"")</f>
        <v/>
      </c>
      <c r="G47" s="32" t="str">
        <f>IF(AND(RandF&gt;0,INDEX(Calcul!$C$5:$C$104,RandF)&gt;=27),MAX(0,INDEX(Calcul!$B$5:$B$104,RandF)-F47),"")</f>
        <v/>
      </c>
      <c r="H47" s="33" t="str">
        <f>IF(NOT(AND(RandF&gt;0,INDEX(Calcul!$C$5:$C$104,RandF)&gt;=27)),"",IF(AND(LunaRef&gt;=EDATE(INDEX('Registru mijloace fixe'!$R$5:$R$104,RandF),12*(27-1)),LunaRef&lt;EDATE(INDEX('Registru mijloace fixe'!$R$5:$R$104,RandF),12*27)),"← anul curent",""))</f>
        <v/>
      </c>
    </row>
    <row r="48" spans="2:8" x14ac:dyDescent="0.2">
      <c r="B48" s="31" t="str">
        <f>IF(AND(RandF&gt;0,INDEX(Calcul!$C$5:$C$104,RandF)&gt;=28),28,"")</f>
        <v/>
      </c>
      <c r="C48" s="31" t="str">
        <f>IF(AND(RandF&gt;0,INDEX(Calcul!$C$5:$C$104,RandF)&gt;=28),RIGHT("0"&amp;DAY(EDATE(INDEX('Registru mijloace fixe'!$R$5:$R$104,RandF),12*(28-1))),2)&amp;"."&amp;RIGHT("0"&amp;MONTH(EDATE(INDEX('Registru mijloace fixe'!$R$5:$R$104,RandF),12*(28-1))),2)&amp;"."&amp;YEAR(EDATE(INDEX('Registru mijloace fixe'!$R$5:$R$104,RandF),12*(28-1))),"")</f>
        <v/>
      </c>
      <c r="D48" s="31" t="str">
        <f>IF(AND(RandF&gt;0,INDEX(Calcul!$C$5:$C$104,RandF)&gt;=28),RIGHT("0"&amp;DAY(EDATE(INDEX('Registru mijloace fixe'!$R$5:$R$104,RandF),12*28)-1),2)&amp;"."&amp;RIGHT("0"&amp;MONTH(EDATE(INDEX('Registru mijloace fixe'!$R$5:$R$104,RandF),12*28)-1),2)&amp;"."&amp;YEAR(EDATE(INDEX('Registru mijloace fixe'!$R$5:$R$104,RandF),12*28)-1),"")</f>
        <v/>
      </c>
      <c r="E48" s="32" t="str">
        <f>IF(AND(RandF&gt;0,INDEX(Calcul!$C$5:$C$104,RandF)&gt;=28),IF(INDEX(Calcul!$D$5:$D$104,RandF)="Liniară",INDEX(Calcul!$B$5:$B$104,RandF)/INDEX(Calcul!$C$5:$C$104,RandF),INDEX(Calcul!$AH$5:$AH$104,RandF)),"")</f>
        <v/>
      </c>
      <c r="F48" s="32" t="str">
        <f>IF(AND(RandF&gt;0,INDEX(Calcul!$C$5:$C$104,RandF)&gt;=28),MIN(INDEX(Calcul!$B$5:$B$104,RandF),F47+E48),"")</f>
        <v/>
      </c>
      <c r="G48" s="32" t="str">
        <f>IF(AND(RandF&gt;0,INDEX(Calcul!$C$5:$C$104,RandF)&gt;=28),MAX(0,INDEX(Calcul!$B$5:$B$104,RandF)-F48),"")</f>
        <v/>
      </c>
      <c r="H48" s="33" t="str">
        <f>IF(NOT(AND(RandF&gt;0,INDEX(Calcul!$C$5:$C$104,RandF)&gt;=28)),"",IF(AND(LunaRef&gt;=EDATE(INDEX('Registru mijloace fixe'!$R$5:$R$104,RandF),12*(28-1)),LunaRef&lt;EDATE(INDEX('Registru mijloace fixe'!$R$5:$R$104,RandF),12*28)),"← anul curent",""))</f>
        <v/>
      </c>
    </row>
    <row r="49" spans="2:8" x14ac:dyDescent="0.2">
      <c r="B49" s="31" t="str">
        <f>IF(AND(RandF&gt;0,INDEX(Calcul!$C$5:$C$104,RandF)&gt;=29),29,"")</f>
        <v/>
      </c>
      <c r="C49" s="31" t="str">
        <f>IF(AND(RandF&gt;0,INDEX(Calcul!$C$5:$C$104,RandF)&gt;=29),RIGHT("0"&amp;DAY(EDATE(INDEX('Registru mijloace fixe'!$R$5:$R$104,RandF),12*(29-1))),2)&amp;"."&amp;RIGHT("0"&amp;MONTH(EDATE(INDEX('Registru mijloace fixe'!$R$5:$R$104,RandF),12*(29-1))),2)&amp;"."&amp;YEAR(EDATE(INDEX('Registru mijloace fixe'!$R$5:$R$104,RandF),12*(29-1))),"")</f>
        <v/>
      </c>
      <c r="D49" s="31" t="str">
        <f>IF(AND(RandF&gt;0,INDEX(Calcul!$C$5:$C$104,RandF)&gt;=29),RIGHT("0"&amp;DAY(EDATE(INDEX('Registru mijloace fixe'!$R$5:$R$104,RandF),12*29)-1),2)&amp;"."&amp;RIGHT("0"&amp;MONTH(EDATE(INDEX('Registru mijloace fixe'!$R$5:$R$104,RandF),12*29)-1),2)&amp;"."&amp;YEAR(EDATE(INDEX('Registru mijloace fixe'!$R$5:$R$104,RandF),12*29)-1),"")</f>
        <v/>
      </c>
      <c r="E49" s="32" t="str">
        <f>IF(AND(RandF&gt;0,INDEX(Calcul!$C$5:$C$104,RandF)&gt;=29),IF(INDEX(Calcul!$D$5:$D$104,RandF)="Liniară",INDEX(Calcul!$B$5:$B$104,RandF)/INDEX(Calcul!$C$5:$C$104,RandF),INDEX(Calcul!$AI$5:$AI$104,RandF)),"")</f>
        <v/>
      </c>
      <c r="F49" s="32" t="str">
        <f>IF(AND(RandF&gt;0,INDEX(Calcul!$C$5:$C$104,RandF)&gt;=29),MIN(INDEX(Calcul!$B$5:$B$104,RandF),F48+E49),"")</f>
        <v/>
      </c>
      <c r="G49" s="32" t="str">
        <f>IF(AND(RandF&gt;0,INDEX(Calcul!$C$5:$C$104,RandF)&gt;=29),MAX(0,INDEX(Calcul!$B$5:$B$104,RandF)-F49),"")</f>
        <v/>
      </c>
      <c r="H49" s="33" t="str">
        <f>IF(NOT(AND(RandF&gt;0,INDEX(Calcul!$C$5:$C$104,RandF)&gt;=29)),"",IF(AND(LunaRef&gt;=EDATE(INDEX('Registru mijloace fixe'!$R$5:$R$104,RandF),12*(29-1)),LunaRef&lt;EDATE(INDEX('Registru mijloace fixe'!$R$5:$R$104,RandF),12*29)),"← anul curent",""))</f>
        <v/>
      </c>
    </row>
    <row r="50" spans="2:8" x14ac:dyDescent="0.2">
      <c r="B50" s="31" t="str">
        <f>IF(AND(RandF&gt;0,INDEX(Calcul!$C$5:$C$104,RandF)&gt;=30),30,"")</f>
        <v/>
      </c>
      <c r="C50" s="31" t="str">
        <f>IF(AND(RandF&gt;0,INDEX(Calcul!$C$5:$C$104,RandF)&gt;=30),RIGHT("0"&amp;DAY(EDATE(INDEX('Registru mijloace fixe'!$R$5:$R$104,RandF),12*(30-1))),2)&amp;"."&amp;RIGHT("0"&amp;MONTH(EDATE(INDEX('Registru mijloace fixe'!$R$5:$R$104,RandF),12*(30-1))),2)&amp;"."&amp;YEAR(EDATE(INDEX('Registru mijloace fixe'!$R$5:$R$104,RandF),12*(30-1))),"")</f>
        <v/>
      </c>
      <c r="D50" s="31" t="str">
        <f>IF(AND(RandF&gt;0,INDEX(Calcul!$C$5:$C$104,RandF)&gt;=30),RIGHT("0"&amp;DAY(EDATE(INDEX('Registru mijloace fixe'!$R$5:$R$104,RandF),12*30)-1),2)&amp;"."&amp;RIGHT("0"&amp;MONTH(EDATE(INDEX('Registru mijloace fixe'!$R$5:$R$104,RandF),12*30)-1),2)&amp;"."&amp;YEAR(EDATE(INDEX('Registru mijloace fixe'!$R$5:$R$104,RandF),12*30)-1),"")</f>
        <v/>
      </c>
      <c r="E50" s="32" t="str">
        <f>IF(AND(RandF&gt;0,INDEX(Calcul!$C$5:$C$104,RandF)&gt;=30),IF(INDEX(Calcul!$D$5:$D$104,RandF)="Liniară",INDEX(Calcul!$B$5:$B$104,RandF)/INDEX(Calcul!$C$5:$C$104,RandF),INDEX(Calcul!$AJ$5:$AJ$104,RandF)),"")</f>
        <v/>
      </c>
      <c r="F50" s="32" t="str">
        <f>IF(AND(RandF&gt;0,INDEX(Calcul!$C$5:$C$104,RandF)&gt;=30),MIN(INDEX(Calcul!$B$5:$B$104,RandF),F49+E50),"")</f>
        <v/>
      </c>
      <c r="G50" s="32" t="str">
        <f>IF(AND(RandF&gt;0,INDEX(Calcul!$C$5:$C$104,RandF)&gt;=30),MAX(0,INDEX(Calcul!$B$5:$B$104,RandF)-F50),"")</f>
        <v/>
      </c>
      <c r="H50" s="33" t="str">
        <f>IF(NOT(AND(RandF&gt;0,INDEX(Calcul!$C$5:$C$104,RandF)&gt;=30)),"",IF(AND(LunaRef&gt;=EDATE(INDEX('Registru mijloace fixe'!$R$5:$R$104,RandF),12*(30-1)),LunaRef&lt;EDATE(INDEX('Registru mijloace fixe'!$R$5:$R$104,RandF),12*30)),"← anul curent",""))</f>
        <v/>
      </c>
    </row>
    <row r="51" spans="2:8" x14ac:dyDescent="0.2">
      <c r="B51" s="31" t="str">
        <f>IF(AND(RandF&gt;0,INDEX(Calcul!$C$5:$C$104,RandF)&gt;=31),31,"")</f>
        <v/>
      </c>
      <c r="C51" s="31" t="str">
        <f>IF(AND(RandF&gt;0,INDEX(Calcul!$C$5:$C$104,RandF)&gt;=31),RIGHT("0"&amp;DAY(EDATE(INDEX('Registru mijloace fixe'!$R$5:$R$104,RandF),12*(31-1))),2)&amp;"."&amp;RIGHT("0"&amp;MONTH(EDATE(INDEX('Registru mijloace fixe'!$R$5:$R$104,RandF),12*(31-1))),2)&amp;"."&amp;YEAR(EDATE(INDEX('Registru mijloace fixe'!$R$5:$R$104,RandF),12*(31-1))),"")</f>
        <v/>
      </c>
      <c r="D51" s="31" t="str">
        <f>IF(AND(RandF&gt;0,INDEX(Calcul!$C$5:$C$104,RandF)&gt;=31),RIGHT("0"&amp;DAY(EDATE(INDEX('Registru mijloace fixe'!$R$5:$R$104,RandF),12*31)-1),2)&amp;"."&amp;RIGHT("0"&amp;MONTH(EDATE(INDEX('Registru mijloace fixe'!$R$5:$R$104,RandF),12*31)-1),2)&amp;"."&amp;YEAR(EDATE(INDEX('Registru mijloace fixe'!$R$5:$R$104,RandF),12*31)-1),"")</f>
        <v/>
      </c>
      <c r="E51" s="32" t="str">
        <f>IF(AND(RandF&gt;0,INDEX(Calcul!$C$5:$C$104,RandF)&gt;=31),INDEX(Calcul!$B$5:$B$104,RandF)/INDEX(Calcul!$C$5:$C$104,RandF),"")</f>
        <v/>
      </c>
      <c r="F51" s="32" t="str">
        <f>IF(AND(RandF&gt;0,INDEX(Calcul!$C$5:$C$104,RandF)&gt;=31),MIN(INDEX(Calcul!$B$5:$B$104,RandF),F50+E51),"")</f>
        <v/>
      </c>
      <c r="G51" s="32" t="str">
        <f>IF(AND(RandF&gt;0,INDEX(Calcul!$C$5:$C$104,RandF)&gt;=31),MAX(0,INDEX(Calcul!$B$5:$B$104,RandF)-F51),"")</f>
        <v/>
      </c>
      <c r="H51" s="33" t="str">
        <f>IF(NOT(AND(RandF&gt;0,INDEX(Calcul!$C$5:$C$104,RandF)&gt;=31)),"",IF(AND(LunaRef&gt;=EDATE(INDEX('Registru mijloace fixe'!$R$5:$R$104,RandF),12*(31-1)),LunaRef&lt;EDATE(INDEX('Registru mijloace fixe'!$R$5:$R$104,RandF),12*31)),"← anul curent",""))</f>
        <v/>
      </c>
    </row>
    <row r="52" spans="2:8" x14ac:dyDescent="0.2">
      <c r="B52" s="31" t="str">
        <f>IF(AND(RandF&gt;0,INDEX(Calcul!$C$5:$C$104,RandF)&gt;=32),32,"")</f>
        <v/>
      </c>
      <c r="C52" s="31" t="str">
        <f>IF(AND(RandF&gt;0,INDEX(Calcul!$C$5:$C$104,RandF)&gt;=32),RIGHT("0"&amp;DAY(EDATE(INDEX('Registru mijloace fixe'!$R$5:$R$104,RandF),12*(32-1))),2)&amp;"."&amp;RIGHT("0"&amp;MONTH(EDATE(INDEX('Registru mijloace fixe'!$R$5:$R$104,RandF),12*(32-1))),2)&amp;"."&amp;YEAR(EDATE(INDEX('Registru mijloace fixe'!$R$5:$R$104,RandF),12*(32-1))),"")</f>
        <v/>
      </c>
      <c r="D52" s="31" t="str">
        <f>IF(AND(RandF&gt;0,INDEX(Calcul!$C$5:$C$104,RandF)&gt;=32),RIGHT("0"&amp;DAY(EDATE(INDEX('Registru mijloace fixe'!$R$5:$R$104,RandF),12*32)-1),2)&amp;"."&amp;RIGHT("0"&amp;MONTH(EDATE(INDEX('Registru mijloace fixe'!$R$5:$R$104,RandF),12*32)-1),2)&amp;"."&amp;YEAR(EDATE(INDEX('Registru mijloace fixe'!$R$5:$R$104,RandF),12*32)-1),"")</f>
        <v/>
      </c>
      <c r="E52" s="32" t="str">
        <f>IF(AND(RandF&gt;0,INDEX(Calcul!$C$5:$C$104,RandF)&gt;=32),INDEX(Calcul!$B$5:$B$104,RandF)/INDEX(Calcul!$C$5:$C$104,RandF),"")</f>
        <v/>
      </c>
      <c r="F52" s="32" t="str">
        <f>IF(AND(RandF&gt;0,INDEX(Calcul!$C$5:$C$104,RandF)&gt;=32),MIN(INDEX(Calcul!$B$5:$B$104,RandF),F51+E52),"")</f>
        <v/>
      </c>
      <c r="G52" s="32" t="str">
        <f>IF(AND(RandF&gt;0,INDEX(Calcul!$C$5:$C$104,RandF)&gt;=32),MAX(0,INDEX(Calcul!$B$5:$B$104,RandF)-F52),"")</f>
        <v/>
      </c>
      <c r="H52" s="33" t="str">
        <f>IF(NOT(AND(RandF&gt;0,INDEX(Calcul!$C$5:$C$104,RandF)&gt;=32)),"",IF(AND(LunaRef&gt;=EDATE(INDEX('Registru mijloace fixe'!$R$5:$R$104,RandF),12*(32-1)),LunaRef&lt;EDATE(INDEX('Registru mijloace fixe'!$R$5:$R$104,RandF),12*32)),"← anul curent",""))</f>
        <v/>
      </c>
    </row>
    <row r="53" spans="2:8" x14ac:dyDescent="0.2">
      <c r="B53" s="31" t="str">
        <f>IF(AND(RandF&gt;0,INDEX(Calcul!$C$5:$C$104,RandF)&gt;=33),33,"")</f>
        <v/>
      </c>
      <c r="C53" s="31" t="str">
        <f>IF(AND(RandF&gt;0,INDEX(Calcul!$C$5:$C$104,RandF)&gt;=33),RIGHT("0"&amp;DAY(EDATE(INDEX('Registru mijloace fixe'!$R$5:$R$104,RandF),12*(33-1))),2)&amp;"."&amp;RIGHT("0"&amp;MONTH(EDATE(INDEX('Registru mijloace fixe'!$R$5:$R$104,RandF),12*(33-1))),2)&amp;"."&amp;YEAR(EDATE(INDEX('Registru mijloace fixe'!$R$5:$R$104,RandF),12*(33-1))),"")</f>
        <v/>
      </c>
      <c r="D53" s="31" t="str">
        <f>IF(AND(RandF&gt;0,INDEX(Calcul!$C$5:$C$104,RandF)&gt;=33),RIGHT("0"&amp;DAY(EDATE(INDEX('Registru mijloace fixe'!$R$5:$R$104,RandF),12*33)-1),2)&amp;"."&amp;RIGHT("0"&amp;MONTH(EDATE(INDEX('Registru mijloace fixe'!$R$5:$R$104,RandF),12*33)-1),2)&amp;"."&amp;YEAR(EDATE(INDEX('Registru mijloace fixe'!$R$5:$R$104,RandF),12*33)-1),"")</f>
        <v/>
      </c>
      <c r="E53" s="32" t="str">
        <f>IF(AND(RandF&gt;0,INDEX(Calcul!$C$5:$C$104,RandF)&gt;=33),INDEX(Calcul!$B$5:$B$104,RandF)/INDEX(Calcul!$C$5:$C$104,RandF),"")</f>
        <v/>
      </c>
      <c r="F53" s="32" t="str">
        <f>IF(AND(RandF&gt;0,INDEX(Calcul!$C$5:$C$104,RandF)&gt;=33),MIN(INDEX(Calcul!$B$5:$B$104,RandF),F52+E53),"")</f>
        <v/>
      </c>
      <c r="G53" s="32" t="str">
        <f>IF(AND(RandF&gt;0,INDEX(Calcul!$C$5:$C$104,RandF)&gt;=33),MAX(0,INDEX(Calcul!$B$5:$B$104,RandF)-F53),"")</f>
        <v/>
      </c>
      <c r="H53" s="33" t="str">
        <f>IF(NOT(AND(RandF&gt;0,INDEX(Calcul!$C$5:$C$104,RandF)&gt;=33)),"",IF(AND(LunaRef&gt;=EDATE(INDEX('Registru mijloace fixe'!$R$5:$R$104,RandF),12*(33-1)),LunaRef&lt;EDATE(INDEX('Registru mijloace fixe'!$R$5:$R$104,RandF),12*33)),"← anul curent",""))</f>
        <v/>
      </c>
    </row>
    <row r="54" spans="2:8" x14ac:dyDescent="0.2">
      <c r="B54" s="31" t="str">
        <f>IF(AND(RandF&gt;0,INDEX(Calcul!$C$5:$C$104,RandF)&gt;=34),34,"")</f>
        <v/>
      </c>
      <c r="C54" s="31" t="str">
        <f>IF(AND(RandF&gt;0,INDEX(Calcul!$C$5:$C$104,RandF)&gt;=34),RIGHT("0"&amp;DAY(EDATE(INDEX('Registru mijloace fixe'!$R$5:$R$104,RandF),12*(34-1))),2)&amp;"."&amp;RIGHT("0"&amp;MONTH(EDATE(INDEX('Registru mijloace fixe'!$R$5:$R$104,RandF),12*(34-1))),2)&amp;"."&amp;YEAR(EDATE(INDEX('Registru mijloace fixe'!$R$5:$R$104,RandF),12*(34-1))),"")</f>
        <v/>
      </c>
      <c r="D54" s="31" t="str">
        <f>IF(AND(RandF&gt;0,INDEX(Calcul!$C$5:$C$104,RandF)&gt;=34),RIGHT("0"&amp;DAY(EDATE(INDEX('Registru mijloace fixe'!$R$5:$R$104,RandF),12*34)-1),2)&amp;"."&amp;RIGHT("0"&amp;MONTH(EDATE(INDEX('Registru mijloace fixe'!$R$5:$R$104,RandF),12*34)-1),2)&amp;"."&amp;YEAR(EDATE(INDEX('Registru mijloace fixe'!$R$5:$R$104,RandF),12*34)-1),"")</f>
        <v/>
      </c>
      <c r="E54" s="32" t="str">
        <f>IF(AND(RandF&gt;0,INDEX(Calcul!$C$5:$C$104,RandF)&gt;=34),INDEX(Calcul!$B$5:$B$104,RandF)/INDEX(Calcul!$C$5:$C$104,RandF),"")</f>
        <v/>
      </c>
      <c r="F54" s="32" t="str">
        <f>IF(AND(RandF&gt;0,INDEX(Calcul!$C$5:$C$104,RandF)&gt;=34),MIN(INDEX(Calcul!$B$5:$B$104,RandF),F53+E54),"")</f>
        <v/>
      </c>
      <c r="G54" s="32" t="str">
        <f>IF(AND(RandF&gt;0,INDEX(Calcul!$C$5:$C$104,RandF)&gt;=34),MAX(0,INDEX(Calcul!$B$5:$B$104,RandF)-F54),"")</f>
        <v/>
      </c>
      <c r="H54" s="33" t="str">
        <f>IF(NOT(AND(RandF&gt;0,INDEX(Calcul!$C$5:$C$104,RandF)&gt;=34)),"",IF(AND(LunaRef&gt;=EDATE(INDEX('Registru mijloace fixe'!$R$5:$R$104,RandF),12*(34-1)),LunaRef&lt;EDATE(INDEX('Registru mijloace fixe'!$R$5:$R$104,RandF),12*34)),"← anul curent",""))</f>
        <v/>
      </c>
    </row>
    <row r="55" spans="2:8" x14ac:dyDescent="0.2">
      <c r="B55" s="31" t="str">
        <f>IF(AND(RandF&gt;0,INDEX(Calcul!$C$5:$C$104,RandF)&gt;=35),35,"")</f>
        <v/>
      </c>
      <c r="C55" s="31" t="str">
        <f>IF(AND(RandF&gt;0,INDEX(Calcul!$C$5:$C$104,RandF)&gt;=35),RIGHT("0"&amp;DAY(EDATE(INDEX('Registru mijloace fixe'!$R$5:$R$104,RandF),12*(35-1))),2)&amp;"."&amp;RIGHT("0"&amp;MONTH(EDATE(INDEX('Registru mijloace fixe'!$R$5:$R$104,RandF),12*(35-1))),2)&amp;"."&amp;YEAR(EDATE(INDEX('Registru mijloace fixe'!$R$5:$R$104,RandF),12*(35-1))),"")</f>
        <v/>
      </c>
      <c r="D55" s="31" t="str">
        <f>IF(AND(RandF&gt;0,INDEX(Calcul!$C$5:$C$104,RandF)&gt;=35),RIGHT("0"&amp;DAY(EDATE(INDEX('Registru mijloace fixe'!$R$5:$R$104,RandF),12*35)-1),2)&amp;"."&amp;RIGHT("0"&amp;MONTH(EDATE(INDEX('Registru mijloace fixe'!$R$5:$R$104,RandF),12*35)-1),2)&amp;"."&amp;YEAR(EDATE(INDEX('Registru mijloace fixe'!$R$5:$R$104,RandF),12*35)-1),"")</f>
        <v/>
      </c>
      <c r="E55" s="32" t="str">
        <f>IF(AND(RandF&gt;0,INDEX(Calcul!$C$5:$C$104,RandF)&gt;=35),INDEX(Calcul!$B$5:$B$104,RandF)/INDEX(Calcul!$C$5:$C$104,RandF),"")</f>
        <v/>
      </c>
      <c r="F55" s="32" t="str">
        <f>IF(AND(RandF&gt;0,INDEX(Calcul!$C$5:$C$104,RandF)&gt;=35),MIN(INDEX(Calcul!$B$5:$B$104,RandF),F54+E55),"")</f>
        <v/>
      </c>
      <c r="G55" s="32" t="str">
        <f>IF(AND(RandF&gt;0,INDEX(Calcul!$C$5:$C$104,RandF)&gt;=35),MAX(0,INDEX(Calcul!$B$5:$B$104,RandF)-F55),"")</f>
        <v/>
      </c>
      <c r="H55" s="33" t="str">
        <f>IF(NOT(AND(RandF&gt;0,INDEX(Calcul!$C$5:$C$104,RandF)&gt;=35)),"",IF(AND(LunaRef&gt;=EDATE(INDEX('Registru mijloace fixe'!$R$5:$R$104,RandF),12*(35-1)),LunaRef&lt;EDATE(INDEX('Registru mijloace fixe'!$R$5:$R$104,RandF),12*35)),"← anul curent",""))</f>
        <v/>
      </c>
    </row>
    <row r="56" spans="2:8" x14ac:dyDescent="0.2">
      <c r="B56" s="31" t="str">
        <f>IF(AND(RandF&gt;0,INDEX(Calcul!$C$5:$C$104,RandF)&gt;=36),36,"")</f>
        <v/>
      </c>
      <c r="C56" s="31" t="str">
        <f>IF(AND(RandF&gt;0,INDEX(Calcul!$C$5:$C$104,RandF)&gt;=36),RIGHT("0"&amp;DAY(EDATE(INDEX('Registru mijloace fixe'!$R$5:$R$104,RandF),12*(36-1))),2)&amp;"."&amp;RIGHT("0"&amp;MONTH(EDATE(INDEX('Registru mijloace fixe'!$R$5:$R$104,RandF),12*(36-1))),2)&amp;"."&amp;YEAR(EDATE(INDEX('Registru mijloace fixe'!$R$5:$R$104,RandF),12*(36-1))),"")</f>
        <v/>
      </c>
      <c r="D56" s="31" t="str">
        <f>IF(AND(RandF&gt;0,INDEX(Calcul!$C$5:$C$104,RandF)&gt;=36),RIGHT("0"&amp;DAY(EDATE(INDEX('Registru mijloace fixe'!$R$5:$R$104,RandF),12*36)-1),2)&amp;"."&amp;RIGHT("0"&amp;MONTH(EDATE(INDEX('Registru mijloace fixe'!$R$5:$R$104,RandF),12*36)-1),2)&amp;"."&amp;YEAR(EDATE(INDEX('Registru mijloace fixe'!$R$5:$R$104,RandF),12*36)-1),"")</f>
        <v/>
      </c>
      <c r="E56" s="32" t="str">
        <f>IF(AND(RandF&gt;0,INDEX(Calcul!$C$5:$C$104,RandF)&gt;=36),INDEX(Calcul!$B$5:$B$104,RandF)/INDEX(Calcul!$C$5:$C$104,RandF),"")</f>
        <v/>
      </c>
      <c r="F56" s="32" t="str">
        <f>IF(AND(RandF&gt;0,INDEX(Calcul!$C$5:$C$104,RandF)&gt;=36),MIN(INDEX(Calcul!$B$5:$B$104,RandF),F55+E56),"")</f>
        <v/>
      </c>
      <c r="G56" s="32" t="str">
        <f>IF(AND(RandF&gt;0,INDEX(Calcul!$C$5:$C$104,RandF)&gt;=36),MAX(0,INDEX(Calcul!$B$5:$B$104,RandF)-F56),"")</f>
        <v/>
      </c>
      <c r="H56" s="33" t="str">
        <f>IF(NOT(AND(RandF&gt;0,INDEX(Calcul!$C$5:$C$104,RandF)&gt;=36)),"",IF(AND(LunaRef&gt;=EDATE(INDEX('Registru mijloace fixe'!$R$5:$R$104,RandF),12*(36-1)),LunaRef&lt;EDATE(INDEX('Registru mijloace fixe'!$R$5:$R$104,RandF),12*36)),"← anul curent",""))</f>
        <v/>
      </c>
    </row>
    <row r="57" spans="2:8" x14ac:dyDescent="0.2">
      <c r="B57" s="31" t="str">
        <f>IF(AND(RandF&gt;0,INDEX(Calcul!$C$5:$C$104,RandF)&gt;=37),37,"")</f>
        <v/>
      </c>
      <c r="C57" s="31" t="str">
        <f>IF(AND(RandF&gt;0,INDEX(Calcul!$C$5:$C$104,RandF)&gt;=37),RIGHT("0"&amp;DAY(EDATE(INDEX('Registru mijloace fixe'!$R$5:$R$104,RandF),12*(37-1))),2)&amp;"."&amp;RIGHT("0"&amp;MONTH(EDATE(INDEX('Registru mijloace fixe'!$R$5:$R$104,RandF),12*(37-1))),2)&amp;"."&amp;YEAR(EDATE(INDEX('Registru mijloace fixe'!$R$5:$R$104,RandF),12*(37-1))),"")</f>
        <v/>
      </c>
      <c r="D57" s="31" t="str">
        <f>IF(AND(RandF&gt;0,INDEX(Calcul!$C$5:$C$104,RandF)&gt;=37),RIGHT("0"&amp;DAY(EDATE(INDEX('Registru mijloace fixe'!$R$5:$R$104,RandF),12*37)-1),2)&amp;"."&amp;RIGHT("0"&amp;MONTH(EDATE(INDEX('Registru mijloace fixe'!$R$5:$R$104,RandF),12*37)-1),2)&amp;"."&amp;YEAR(EDATE(INDEX('Registru mijloace fixe'!$R$5:$R$104,RandF),12*37)-1),"")</f>
        <v/>
      </c>
      <c r="E57" s="32" t="str">
        <f>IF(AND(RandF&gt;0,INDEX(Calcul!$C$5:$C$104,RandF)&gt;=37),INDEX(Calcul!$B$5:$B$104,RandF)/INDEX(Calcul!$C$5:$C$104,RandF),"")</f>
        <v/>
      </c>
      <c r="F57" s="32" t="str">
        <f>IF(AND(RandF&gt;0,INDEX(Calcul!$C$5:$C$104,RandF)&gt;=37),MIN(INDEX(Calcul!$B$5:$B$104,RandF),F56+E57),"")</f>
        <v/>
      </c>
      <c r="G57" s="32" t="str">
        <f>IF(AND(RandF&gt;0,INDEX(Calcul!$C$5:$C$104,RandF)&gt;=37),MAX(0,INDEX(Calcul!$B$5:$B$104,RandF)-F57),"")</f>
        <v/>
      </c>
      <c r="H57" s="33" t="str">
        <f>IF(NOT(AND(RandF&gt;0,INDEX(Calcul!$C$5:$C$104,RandF)&gt;=37)),"",IF(AND(LunaRef&gt;=EDATE(INDEX('Registru mijloace fixe'!$R$5:$R$104,RandF),12*(37-1)),LunaRef&lt;EDATE(INDEX('Registru mijloace fixe'!$R$5:$R$104,RandF),12*37)),"← anul curent",""))</f>
        <v/>
      </c>
    </row>
    <row r="58" spans="2:8" x14ac:dyDescent="0.2">
      <c r="B58" s="31" t="str">
        <f>IF(AND(RandF&gt;0,INDEX(Calcul!$C$5:$C$104,RandF)&gt;=38),38,"")</f>
        <v/>
      </c>
      <c r="C58" s="31" t="str">
        <f>IF(AND(RandF&gt;0,INDEX(Calcul!$C$5:$C$104,RandF)&gt;=38),RIGHT("0"&amp;DAY(EDATE(INDEX('Registru mijloace fixe'!$R$5:$R$104,RandF),12*(38-1))),2)&amp;"."&amp;RIGHT("0"&amp;MONTH(EDATE(INDEX('Registru mijloace fixe'!$R$5:$R$104,RandF),12*(38-1))),2)&amp;"."&amp;YEAR(EDATE(INDEX('Registru mijloace fixe'!$R$5:$R$104,RandF),12*(38-1))),"")</f>
        <v/>
      </c>
      <c r="D58" s="31" t="str">
        <f>IF(AND(RandF&gt;0,INDEX(Calcul!$C$5:$C$104,RandF)&gt;=38),RIGHT("0"&amp;DAY(EDATE(INDEX('Registru mijloace fixe'!$R$5:$R$104,RandF),12*38)-1),2)&amp;"."&amp;RIGHT("0"&amp;MONTH(EDATE(INDEX('Registru mijloace fixe'!$R$5:$R$104,RandF),12*38)-1),2)&amp;"."&amp;YEAR(EDATE(INDEX('Registru mijloace fixe'!$R$5:$R$104,RandF),12*38)-1),"")</f>
        <v/>
      </c>
      <c r="E58" s="32" t="str">
        <f>IF(AND(RandF&gt;0,INDEX(Calcul!$C$5:$C$104,RandF)&gt;=38),INDEX(Calcul!$B$5:$B$104,RandF)/INDEX(Calcul!$C$5:$C$104,RandF),"")</f>
        <v/>
      </c>
      <c r="F58" s="32" t="str">
        <f>IF(AND(RandF&gt;0,INDEX(Calcul!$C$5:$C$104,RandF)&gt;=38),MIN(INDEX(Calcul!$B$5:$B$104,RandF),F57+E58),"")</f>
        <v/>
      </c>
      <c r="G58" s="32" t="str">
        <f>IF(AND(RandF&gt;0,INDEX(Calcul!$C$5:$C$104,RandF)&gt;=38),MAX(0,INDEX(Calcul!$B$5:$B$104,RandF)-F58),"")</f>
        <v/>
      </c>
      <c r="H58" s="33" t="str">
        <f>IF(NOT(AND(RandF&gt;0,INDEX(Calcul!$C$5:$C$104,RandF)&gt;=38)),"",IF(AND(LunaRef&gt;=EDATE(INDEX('Registru mijloace fixe'!$R$5:$R$104,RandF),12*(38-1)),LunaRef&lt;EDATE(INDEX('Registru mijloace fixe'!$R$5:$R$104,RandF),12*38)),"← anul curent",""))</f>
        <v/>
      </c>
    </row>
    <row r="59" spans="2:8" x14ac:dyDescent="0.2">
      <c r="B59" s="31" t="str">
        <f>IF(AND(RandF&gt;0,INDEX(Calcul!$C$5:$C$104,RandF)&gt;=39),39,"")</f>
        <v/>
      </c>
      <c r="C59" s="31" t="str">
        <f>IF(AND(RandF&gt;0,INDEX(Calcul!$C$5:$C$104,RandF)&gt;=39),RIGHT("0"&amp;DAY(EDATE(INDEX('Registru mijloace fixe'!$R$5:$R$104,RandF),12*(39-1))),2)&amp;"."&amp;RIGHT("0"&amp;MONTH(EDATE(INDEX('Registru mijloace fixe'!$R$5:$R$104,RandF),12*(39-1))),2)&amp;"."&amp;YEAR(EDATE(INDEX('Registru mijloace fixe'!$R$5:$R$104,RandF),12*(39-1))),"")</f>
        <v/>
      </c>
      <c r="D59" s="31" t="str">
        <f>IF(AND(RandF&gt;0,INDEX(Calcul!$C$5:$C$104,RandF)&gt;=39),RIGHT("0"&amp;DAY(EDATE(INDEX('Registru mijloace fixe'!$R$5:$R$104,RandF),12*39)-1),2)&amp;"."&amp;RIGHT("0"&amp;MONTH(EDATE(INDEX('Registru mijloace fixe'!$R$5:$R$104,RandF),12*39)-1),2)&amp;"."&amp;YEAR(EDATE(INDEX('Registru mijloace fixe'!$R$5:$R$104,RandF),12*39)-1),"")</f>
        <v/>
      </c>
      <c r="E59" s="32" t="str">
        <f>IF(AND(RandF&gt;0,INDEX(Calcul!$C$5:$C$104,RandF)&gt;=39),INDEX(Calcul!$B$5:$B$104,RandF)/INDEX(Calcul!$C$5:$C$104,RandF),"")</f>
        <v/>
      </c>
      <c r="F59" s="32" t="str">
        <f>IF(AND(RandF&gt;0,INDEX(Calcul!$C$5:$C$104,RandF)&gt;=39),MIN(INDEX(Calcul!$B$5:$B$104,RandF),F58+E59),"")</f>
        <v/>
      </c>
      <c r="G59" s="32" t="str">
        <f>IF(AND(RandF&gt;0,INDEX(Calcul!$C$5:$C$104,RandF)&gt;=39),MAX(0,INDEX(Calcul!$B$5:$B$104,RandF)-F59),"")</f>
        <v/>
      </c>
      <c r="H59" s="33" t="str">
        <f>IF(NOT(AND(RandF&gt;0,INDEX(Calcul!$C$5:$C$104,RandF)&gt;=39)),"",IF(AND(LunaRef&gt;=EDATE(INDEX('Registru mijloace fixe'!$R$5:$R$104,RandF),12*(39-1)),LunaRef&lt;EDATE(INDEX('Registru mijloace fixe'!$R$5:$R$104,RandF),12*39)),"← anul curent",""))</f>
        <v/>
      </c>
    </row>
    <row r="60" spans="2:8" x14ac:dyDescent="0.2">
      <c r="B60" s="31" t="str">
        <f>IF(AND(RandF&gt;0,INDEX(Calcul!$C$5:$C$104,RandF)&gt;=40),40,"")</f>
        <v/>
      </c>
      <c r="C60" s="31" t="str">
        <f>IF(AND(RandF&gt;0,INDEX(Calcul!$C$5:$C$104,RandF)&gt;=40),RIGHT("0"&amp;DAY(EDATE(INDEX('Registru mijloace fixe'!$R$5:$R$104,RandF),12*(40-1))),2)&amp;"."&amp;RIGHT("0"&amp;MONTH(EDATE(INDEX('Registru mijloace fixe'!$R$5:$R$104,RandF),12*(40-1))),2)&amp;"."&amp;YEAR(EDATE(INDEX('Registru mijloace fixe'!$R$5:$R$104,RandF),12*(40-1))),"")</f>
        <v/>
      </c>
      <c r="D60" s="31" t="str">
        <f>IF(AND(RandF&gt;0,INDEX(Calcul!$C$5:$C$104,RandF)&gt;=40),RIGHT("0"&amp;DAY(EDATE(INDEX('Registru mijloace fixe'!$R$5:$R$104,RandF),12*40)-1),2)&amp;"."&amp;RIGHT("0"&amp;MONTH(EDATE(INDEX('Registru mijloace fixe'!$R$5:$R$104,RandF),12*40)-1),2)&amp;"."&amp;YEAR(EDATE(INDEX('Registru mijloace fixe'!$R$5:$R$104,RandF),12*40)-1),"")</f>
        <v/>
      </c>
      <c r="E60" s="32" t="str">
        <f>IF(AND(RandF&gt;0,INDEX(Calcul!$C$5:$C$104,RandF)&gt;=40),INDEX(Calcul!$B$5:$B$104,RandF)/INDEX(Calcul!$C$5:$C$104,RandF),"")</f>
        <v/>
      </c>
      <c r="F60" s="32" t="str">
        <f>IF(AND(RandF&gt;0,INDEX(Calcul!$C$5:$C$104,RandF)&gt;=40),MIN(INDEX(Calcul!$B$5:$B$104,RandF),F59+E60),"")</f>
        <v/>
      </c>
      <c r="G60" s="32" t="str">
        <f>IF(AND(RandF&gt;0,INDEX(Calcul!$C$5:$C$104,RandF)&gt;=40),MAX(0,INDEX(Calcul!$B$5:$B$104,RandF)-F60),"")</f>
        <v/>
      </c>
      <c r="H60" s="33" t="str">
        <f>IF(NOT(AND(RandF&gt;0,INDEX(Calcul!$C$5:$C$104,RandF)&gt;=40)),"",IF(AND(LunaRef&gt;=EDATE(INDEX('Registru mijloace fixe'!$R$5:$R$104,RandF),12*(40-1)),LunaRef&lt;EDATE(INDEX('Registru mijloace fixe'!$R$5:$R$104,RandF),12*40)),"← anul curent",""))</f>
        <v/>
      </c>
    </row>
    <row r="62" spans="2:8" ht="30" customHeight="1" x14ac:dyDescent="0.2">
      <c r="B62" s="45" t="str">
        <f>IF(RandF=0,"","La "&amp;TEXT(LunaCalc,"00")&amp;"."&amp;AnCalc&amp;": amortizare cumulată "&amp;FIXED(IF(RandF=0,"",INDEX('Registru mijloace fixe'!$T$5:$T$104,RandF)),2)&amp;" lei, valoare rămasă "&amp;FIXED(IF(RandF=0,"",INDEX('Registru mijloace fixe'!$U$5:$U$104,RandF)),2)&amp;" lei, status: "&amp;IF(RandF=0,"",INDEX('Registru mijloace fixe'!$V$5:$V$104,RandF))&amp;"."&amp;IF(IF(RandF=0,"",INDEX('Registru mijloace fixe'!$W$5:$W$104,RandF))="","","  Atenție: "&amp;IF(RandF=0,"",INDEX('Registru mijloace fixe'!$W$5:$W$104,RandF))))</f>
        <v>La 10.2026: amortizare cumulată 91.777,34 lei, valoare rămasă 93.222,66 lei, status: În funcțiune.</v>
      </c>
      <c r="C62" s="46"/>
      <c r="D62" s="46"/>
      <c r="E62" s="46"/>
      <c r="F62" s="46"/>
      <c r="G62" s="46"/>
      <c r="H62" s="46"/>
    </row>
    <row r="64" spans="2:8" x14ac:dyDescent="0.2">
      <c r="B64" s="4" t="s">
        <v>197</v>
      </c>
      <c r="C64" s="4"/>
      <c r="D64" s="4"/>
      <c r="E64" s="4"/>
      <c r="F64" s="4" t="s">
        <v>198</v>
      </c>
      <c r="G64" s="4"/>
      <c r="H64" s="4"/>
    </row>
    <row r="66" spans="2:6" x14ac:dyDescent="0.2">
      <c r="B66" s="1" t="s">
        <v>199</v>
      </c>
      <c r="F66" s="1" t="s">
        <v>199</v>
      </c>
    </row>
    <row r="1000" spans="702:702" ht="15" x14ac:dyDescent="0.25">
      <c r="ZZ1000"/>
    </row>
  </sheetData>
  <mergeCells count="24">
    <mergeCell ref="B9:C9"/>
    <mergeCell ref="D9:H9"/>
    <mergeCell ref="B3:H3"/>
    <mergeCell ref="B5:H5"/>
    <mergeCell ref="B6:H6"/>
    <mergeCell ref="B8:C8"/>
    <mergeCell ref="D8:H8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B16:C16"/>
    <mergeCell ref="D16:H16"/>
    <mergeCell ref="B17:C17"/>
    <mergeCell ref="D17:H17"/>
    <mergeCell ref="B62:H62"/>
  </mergeCells>
  <conditionalFormatting sqref="B21:H60">
    <cfRule type="expression" dxfId="2" priority="1" stopIfTrue="1">
      <formula>$H21&lt;&gt;""</formula>
    </cfRule>
    <cfRule type="expression" dxfId="1" priority="2" stopIfTrue="1">
      <formula>$B21=""</formula>
    </cfRule>
  </conditionalFormatting>
  <printOptions horizontalCentered="1"/>
  <pageMargins left="0.7" right="0.7" top="0.75" bottom="0.75" header="0.3" footer="0.3"/>
  <pageSetup scale="93" fitToHeight="0" orientation="portrait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41A41-112F-4825-86E2-B1FBA85EC8A9}">
  <dimension ref="B1:N65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9.7109375" style="1" customWidth="1"/>
    <col min="3" max="3" width="28.7109375" style="1" customWidth="1"/>
    <col min="4" max="4" width="26.7109375" style="1" customWidth="1"/>
    <col min="5" max="5" width="9.7109375" style="1" customWidth="1"/>
    <col min="6" max="6" width="19.7109375" style="1" customWidth="1"/>
    <col min="7" max="7" width="12.7109375" style="1" customWidth="1"/>
    <col min="8" max="9" width="13.7109375" style="1" customWidth="1"/>
    <col min="10" max="10" width="3.7109375" style="1" customWidth="1"/>
    <col min="11" max="12" width="8.7109375" style="1" customWidth="1"/>
    <col min="13" max="13" width="12.7109375" style="1" customWidth="1"/>
    <col min="14" max="16384" width="11.42578125" style="1"/>
  </cols>
  <sheetData>
    <row r="1" spans="2:14" ht="21" x14ac:dyDescent="0.35">
      <c r="B1" s="2" t="s">
        <v>200</v>
      </c>
    </row>
    <row r="2" spans="2:14" x14ac:dyDescent="0.2">
      <c r="B2" s="3" t="s">
        <v>201</v>
      </c>
    </row>
    <row r="3" spans="2:14" ht="15.75" x14ac:dyDescent="0.25">
      <c r="B3" s="34" t="str">
        <f>"Luna: "&amp;TEXT(LunaCalc,"00")&amp;"."&amp;AnCalc</f>
        <v>Luna: 10.2026</v>
      </c>
    </row>
    <row r="5" spans="2:14" ht="30" customHeight="1" x14ac:dyDescent="0.2">
      <c r="B5" s="12" t="s">
        <v>42</v>
      </c>
      <c r="C5" s="12" t="s">
        <v>202</v>
      </c>
      <c r="D5" s="12" t="s">
        <v>12</v>
      </c>
      <c r="E5" s="12" t="s">
        <v>14</v>
      </c>
      <c r="F5" s="12" t="s">
        <v>27</v>
      </c>
      <c r="G5" s="12" t="s">
        <v>200</v>
      </c>
      <c r="H5" s="12" t="s">
        <v>57</v>
      </c>
      <c r="I5" s="12" t="s">
        <v>58</v>
      </c>
      <c r="K5" s="11" t="s">
        <v>203</v>
      </c>
    </row>
    <row r="6" spans="2:14" x14ac:dyDescent="0.2">
      <c r="B6" s="38" t="str">
        <f>IF($N6=0,"",INDEX('Registru mijloace fixe'!$B$5:$B$104,$N6))</f>
        <v>MF-001</v>
      </c>
      <c r="C6" s="39" t="str">
        <f>IF($N6=0,"",INDEX('Registru mijloace fixe'!$C$5:$C$104,$N6))</f>
        <v>Hală depozit Ploiești</v>
      </c>
      <c r="D6" s="39" t="str">
        <f>IF($N6=0,"",INDEX('Registru mijloace fixe'!$D$5:$D$104,$N6))</f>
        <v>1 – Construcții</v>
      </c>
      <c r="E6" s="38">
        <f t="shared" ref="E6:E37" si="0">IF($N6=0,"",IFERROR(VLOOKUP(D6,TabelGrupe,3,FALSE),""))</f>
        <v>2812</v>
      </c>
      <c r="F6" s="40" t="str">
        <f>IF($N6=0,"",INDEX('Registru mijloace fixe'!$K$5:$K$104,$N6))</f>
        <v>Liniară</v>
      </c>
      <c r="G6" s="41">
        <f>IF($N6=0,"",INDEX('Registru mijloace fixe'!$S$5:$S$104,$N6))</f>
        <v>937.5</v>
      </c>
      <c r="H6" s="41">
        <f>IF($N6=0,"",INDEX('Registru mijloace fixe'!$T$5:$T$104,$N6))</f>
        <v>85312.5</v>
      </c>
      <c r="I6" s="41">
        <f>IF($N6=0,"",INDEX('Registru mijloace fixe'!$U$5:$U$104,$N6))</f>
        <v>364687.5</v>
      </c>
      <c r="K6" s="12" t="s">
        <v>204</v>
      </c>
      <c r="L6" s="12" t="s">
        <v>205</v>
      </c>
      <c r="M6" s="12" t="s">
        <v>206</v>
      </c>
      <c r="N6" s="30">
        <f>IFERROR(_xlfn.AGGREGATE(15,6,(ROW('Registru mijloace fixe'!$S$5:$S$104)-4)/(ISNUMBER('Registru mijloace fixe'!$S$5:$S$104)*('Registru mijloace fixe'!$S$5:$S$104&gt;0.004)),1),0)</f>
        <v>1</v>
      </c>
    </row>
    <row r="7" spans="2:14" ht="25.5" x14ac:dyDescent="0.2">
      <c r="B7" s="38" t="str">
        <f>IF($N7=0,"",INDEX('Registru mijloace fixe'!$B$5:$B$104,$N7))</f>
        <v>MF-002</v>
      </c>
      <c r="C7" s="39" t="str">
        <f>IF($N7=0,"",INDEX('Registru mijloace fixe'!$C$5:$C$104,$N7))</f>
        <v>Strung CNC</v>
      </c>
      <c r="D7" s="39" t="str">
        <f>IF($N7=0,"",INDEX('Registru mijloace fixe'!$D$5:$D$104,$N7))</f>
        <v>2.1 – Echipamente tehnologice (mașini, utilaje)</v>
      </c>
      <c r="E7" s="38">
        <f t="shared" si="0"/>
        <v>2813</v>
      </c>
      <c r="F7" s="40" t="str">
        <f>IF($N7=0,"",INDEX('Registru mijloace fixe'!$K$5:$K$104,$N7))</f>
        <v>Degresivă</v>
      </c>
      <c r="G7" s="41">
        <f>IF($N7=0,"",INDEX('Registru mijloace fixe'!$S$5:$S$104,$N7))</f>
        <v>2167.96875</v>
      </c>
      <c r="H7" s="41">
        <f>IF($N7=0,"",INDEX('Registru mijloace fixe'!$T$5:$T$104,$N7))</f>
        <v>91777.34375</v>
      </c>
      <c r="I7" s="41">
        <f>IF($N7=0,"",INDEX('Registru mijloace fixe'!$U$5:$U$104,$N7))</f>
        <v>93222.65625</v>
      </c>
      <c r="K7" s="31">
        <v>6811</v>
      </c>
      <c r="L7" s="31">
        <v>2812</v>
      </c>
      <c r="M7" s="32">
        <f>SUMIF($E$6:$E$65,"2812",$G$6:$G$65)</f>
        <v>937.5</v>
      </c>
      <c r="N7" s="30">
        <f>IFERROR(_xlfn.AGGREGATE(15,6,(ROW('Registru mijloace fixe'!$S$5:$S$104)-4)/(ISNUMBER('Registru mijloace fixe'!$S$5:$S$104)*('Registru mijloace fixe'!$S$5:$S$104&gt;0.004)),2),0)</f>
        <v>2</v>
      </c>
    </row>
    <row r="8" spans="2:14" ht="25.5" x14ac:dyDescent="0.2">
      <c r="B8" s="38" t="str">
        <f>IF($N8=0,"",INDEX('Registru mijloace fixe'!$B$5:$B$104,$N8))</f>
        <v>MF-003</v>
      </c>
      <c r="C8" s="39" t="str">
        <f>IF($N8=0,"",INDEX('Registru mijloace fixe'!$C$5:$C$104,$N8))</f>
        <v>Autoutilitară Ford Transit PH-34-EXI</v>
      </c>
      <c r="D8" s="39" t="str">
        <f>IF($N8=0,"",INDEX('Registru mijloace fixe'!$D$5:$D$104,$N8))</f>
        <v>2.3 – Mijloace de transport</v>
      </c>
      <c r="E8" s="38">
        <f t="shared" si="0"/>
        <v>2813</v>
      </c>
      <c r="F8" s="40" t="str">
        <f>IF($N8=0,"",INDEX('Registru mijloace fixe'!$K$5:$K$104,$N8))</f>
        <v>Liniară</v>
      </c>
      <c r="G8" s="41">
        <f>IF($N8=0,"",INDEX('Registru mijloace fixe'!$S$5:$S$104,$N8))</f>
        <v>2133.3333333333285</v>
      </c>
      <c r="H8" s="41">
        <f>IF($N8=0,"",INDEX('Registru mijloace fixe'!$T$5:$T$104,$N8))</f>
        <v>78933.333333333328</v>
      </c>
      <c r="I8" s="41">
        <f>IF($N8=0,"",INDEX('Registru mijloace fixe'!$U$5:$U$104,$N8))</f>
        <v>49066.666666666672</v>
      </c>
      <c r="K8" s="31">
        <v>6811</v>
      </c>
      <c r="L8" s="31">
        <v>2813</v>
      </c>
      <c r="M8" s="32">
        <f>SUMIF($E$6:$E$65,"2813",$G$6:$G$65)</f>
        <v>7541.0243055555511</v>
      </c>
      <c r="N8" s="30">
        <f>IFERROR(_xlfn.AGGREGATE(15,6,(ROW('Registru mijloace fixe'!$S$5:$S$104)-4)/(ISNUMBER('Registru mijloace fixe'!$S$5:$S$104)*('Registru mijloace fixe'!$S$5:$S$104&gt;0.004)),3),0)</f>
        <v>3</v>
      </c>
    </row>
    <row r="9" spans="2:14" ht="25.5" x14ac:dyDescent="0.2">
      <c r="B9" s="38" t="str">
        <f>IF($N9=0,"",INDEX('Registru mijloace fixe'!$B$5:$B$104,$N9))</f>
        <v>MF-004</v>
      </c>
      <c r="C9" s="39" t="str">
        <f>IF($N9=0,"",INDEX('Registru mijloace fixe'!$C$5:$C$104,$N9))</f>
        <v>Server și echipamente de rețea</v>
      </c>
      <c r="D9" s="39" t="str">
        <f>IF($N9=0,"",INDEX('Registru mijloace fixe'!$D$5:$D$104,$N9))</f>
        <v>2.2.9 – Calculatoare și echipamente periferice</v>
      </c>
      <c r="E9" s="38">
        <f t="shared" si="0"/>
        <v>2813</v>
      </c>
      <c r="F9" s="40" t="str">
        <f>IF($N9=0,"",INDEX('Registru mijloace fixe'!$K$5:$K$104,$N9))</f>
        <v>Accelerată</v>
      </c>
      <c r="G9" s="41">
        <f>IF($N9=0,"",INDEX('Registru mijloace fixe'!$S$5:$S$104,$N9))</f>
        <v>451.38888888888687</v>
      </c>
      <c r="H9" s="41">
        <f>IF($N9=0,"",INDEX('Registru mijloace fixe'!$T$5:$T$104,$N9))</f>
        <v>19861.111111111109</v>
      </c>
      <c r="I9" s="41">
        <f>IF($N9=0,"",INDEX('Registru mijloace fixe'!$U$5:$U$104,$N9))</f>
        <v>12638.888888888891</v>
      </c>
      <c r="K9" s="31">
        <v>6811</v>
      </c>
      <c r="L9" s="31">
        <v>2814</v>
      </c>
      <c r="M9" s="32">
        <f>SUMIF($E$6:$E$65,"2814",$G$6:$G$65)</f>
        <v>131.48148148148175</v>
      </c>
      <c r="N9" s="30">
        <f>IFERROR(_xlfn.AGGREGATE(15,6,(ROW('Registru mijloace fixe'!$S$5:$S$104)-4)/(ISNUMBER('Registru mijloace fixe'!$S$5:$S$104)*('Registru mijloace fixe'!$S$5:$S$104&gt;0.004)),4),0)</f>
        <v>4</v>
      </c>
    </row>
    <row r="10" spans="2:14" ht="25.5" x14ac:dyDescent="0.2">
      <c r="B10" s="38" t="str">
        <f>IF($N10=0,"",INDEX('Registru mijloace fixe'!$B$5:$B$104,$N10))</f>
        <v>MF-005</v>
      </c>
      <c r="C10" s="39" t="str">
        <f>IF($N10=0,"",INDEX('Registru mijloace fixe'!$C$5:$C$104,$N10))</f>
        <v>Compresor industrial</v>
      </c>
      <c r="D10" s="39" t="str">
        <f>IF($N10=0,"",INDEX('Registru mijloace fixe'!$D$5:$D$104,$N10))</f>
        <v>2.1 – Echipamente tehnologice (mașini, utilaje)</v>
      </c>
      <c r="E10" s="38">
        <f t="shared" si="0"/>
        <v>2813</v>
      </c>
      <c r="F10" s="40" t="str">
        <f>IF($N10=0,"",INDEX('Registru mijloace fixe'!$K$5:$K$104,$N10))</f>
        <v>Superaccelerată (2026)</v>
      </c>
      <c r="G10" s="41">
        <f>IF($N10=0,"",INDEX('Registru mijloace fixe'!$S$5:$S$104,$N10))</f>
        <v>2535</v>
      </c>
      <c r="H10" s="41">
        <f>IF($N10=0,"",INDEX('Registru mijloace fixe'!$T$5:$T$104,$N10))</f>
        <v>15210</v>
      </c>
      <c r="I10" s="41">
        <f>IF($N10=0,"",INDEX('Registru mijloace fixe'!$U$5:$U$104,$N10))</f>
        <v>31590</v>
      </c>
      <c r="K10" s="35" t="s">
        <v>207</v>
      </c>
      <c r="L10" s="35"/>
      <c r="M10" s="36">
        <f>SUM(M7:M9)</f>
        <v>8610.0057870370329</v>
      </c>
      <c r="N10" s="30">
        <f>IFERROR(_xlfn.AGGREGATE(15,6,(ROW('Registru mijloace fixe'!$S$5:$S$104)-4)/(ISNUMBER('Registru mijloace fixe'!$S$5:$S$104)*('Registru mijloace fixe'!$S$5:$S$104&gt;0.004)),5),0)</f>
        <v>5</v>
      </c>
    </row>
    <row r="11" spans="2:14" ht="25.5" x14ac:dyDescent="0.2">
      <c r="B11" s="38" t="str">
        <f>IF($N11=0,"",INDEX('Registru mijloace fixe'!$B$5:$B$104,$N11))</f>
        <v>MF-006</v>
      </c>
      <c r="C11" s="39" t="str">
        <f>IF($N11=0,"",INDEX('Registru mijloace fixe'!$C$5:$C$104,$N11))</f>
        <v>Mobilier birou (set)</v>
      </c>
      <c r="D11" s="39" t="str">
        <f>IF($N11=0,"",INDEX('Registru mijloace fixe'!$D$5:$D$104,$N11))</f>
        <v>3 – Mobilier și aparatură birotică</v>
      </c>
      <c r="E11" s="38">
        <f t="shared" si="0"/>
        <v>2814</v>
      </c>
      <c r="F11" s="40" t="str">
        <f>IF($N11=0,"",INDEX('Registru mijloace fixe'!$K$5:$K$104,$N11))</f>
        <v>Liniară</v>
      </c>
      <c r="G11" s="41">
        <f>IF($N11=0,"",INDEX('Registru mijloace fixe'!$S$5:$S$104,$N11))</f>
        <v>131.48148148148175</v>
      </c>
      <c r="H11" s="41">
        <f>IF($N11=0,"",INDEX('Registru mijloace fixe'!$T$5:$T$104,$N11))</f>
        <v>8414.8148148148157</v>
      </c>
      <c r="I11" s="41">
        <f>IF($N11=0,"",INDEX('Registru mijloace fixe'!$U$5:$U$104,$N11))</f>
        <v>5785.1851851851843</v>
      </c>
      <c r="K11" s="9" t="s">
        <v>208</v>
      </c>
      <c r="M11" s="37">
        <f>SUM(G6:G65)</f>
        <v>8610.0057870370329</v>
      </c>
      <c r="N11" s="30">
        <f>IFERROR(_xlfn.AGGREGATE(15,6,(ROW('Registru mijloace fixe'!$S$5:$S$104)-4)/(ISNUMBER('Registru mijloace fixe'!$S$5:$S$104)*('Registru mijloace fixe'!$S$5:$S$104&gt;0.004)),6),0)</f>
        <v>6</v>
      </c>
    </row>
    <row r="12" spans="2:14" x14ac:dyDescent="0.2">
      <c r="B12" s="38" t="str">
        <f>IF($N12=0,"",INDEX('Registru mijloace fixe'!$B$5:$B$104,$N12))</f>
        <v>MF-009</v>
      </c>
      <c r="C12" s="39" t="str">
        <f>IF($N12=0,"",INDEX('Registru mijloace fixe'!$C$5:$C$104,$N12))</f>
        <v>Aparat de aer condiționat</v>
      </c>
      <c r="D12" s="39" t="str">
        <f>IF($N12=0,"",INDEX('Registru mijloace fixe'!$D$5:$D$104,$N12))</f>
        <v>2.2 – Alte aparate și instalații</v>
      </c>
      <c r="E12" s="38">
        <f t="shared" si="0"/>
        <v>2813</v>
      </c>
      <c r="F12" s="40" t="str">
        <f>IF($N12=0,"",INDEX('Registru mijloace fixe'!$K$5:$K$104,$N12))</f>
        <v>Liniară</v>
      </c>
      <c r="G12" s="41">
        <f>IF($N12=0,"",INDEX('Registru mijloace fixe'!$S$5:$S$104,$N12))</f>
        <v>70</v>
      </c>
      <c r="H12" s="41">
        <f>IF($N12=0,"",INDEX('Registru mijloace fixe'!$T$5:$T$104,$N12))</f>
        <v>210</v>
      </c>
      <c r="I12" s="41">
        <f>IF($N12=0,"",INDEX('Registru mijloace fixe'!$U$5:$U$104,$N12))</f>
        <v>3990</v>
      </c>
      <c r="N12" s="30">
        <f>IFERROR(_xlfn.AGGREGATE(15,6,(ROW('Registru mijloace fixe'!$S$5:$S$104)-4)/(ISNUMBER('Registru mijloace fixe'!$S$5:$S$104)*('Registru mijloace fixe'!$S$5:$S$104&gt;0.004)),7),0)</f>
        <v>9</v>
      </c>
    </row>
    <row r="13" spans="2:14" ht="25.5" x14ac:dyDescent="0.2">
      <c r="B13" s="38" t="str">
        <f>IF($N13=0,"",INDEX('Registru mijloace fixe'!$B$5:$B$104,$N13))</f>
        <v>MF-010</v>
      </c>
      <c r="C13" s="39" t="str">
        <f>IF($N13=0,"",INDEX('Registru mijloace fixe'!$C$5:$C$104,$N13))</f>
        <v>Generator electric 20 kVA</v>
      </c>
      <c r="D13" s="39" t="str">
        <f>IF($N13=0,"",INDEX('Registru mijloace fixe'!$D$5:$D$104,$N13))</f>
        <v>2.1 – Echipamente tehnologice (mașini, utilaje)</v>
      </c>
      <c r="E13" s="38">
        <f t="shared" si="0"/>
        <v>2813</v>
      </c>
      <c r="F13" s="40" t="str">
        <f>IF($N13=0,"",INDEX('Registru mijloace fixe'!$K$5:$K$104,$N13))</f>
        <v>Liniară</v>
      </c>
      <c r="G13" s="41">
        <f>IF($N13=0,"",INDEX('Registru mijloace fixe'!$S$5:$S$104,$N13))</f>
        <v>183.33333333333576</v>
      </c>
      <c r="H13" s="41">
        <f>IF($N13=0,"",INDEX('Registru mijloace fixe'!$T$5:$T$104,$N13))</f>
        <v>18516.666666666668</v>
      </c>
      <c r="I13" s="41">
        <f>IF($N13=0,"",INDEX('Registru mijloace fixe'!$U$5:$U$104,$N13))</f>
        <v>3483.3333333333321</v>
      </c>
      <c r="N13" s="30">
        <f>IFERROR(_xlfn.AGGREGATE(15,6,(ROW('Registru mijloace fixe'!$S$5:$S$104)-4)/(ISNUMBER('Registru mijloace fixe'!$S$5:$S$104)*('Registru mijloace fixe'!$S$5:$S$104&gt;0.004)),8),0)</f>
        <v>10</v>
      </c>
    </row>
    <row r="14" spans="2:14" x14ac:dyDescent="0.2">
      <c r="B14" s="38" t="str">
        <f>IF($N14=0,"",INDEX('Registru mijloace fixe'!$B$5:$B$104,$N14))</f>
        <v/>
      </c>
      <c r="C14" s="39" t="str">
        <f>IF($N14=0,"",INDEX('Registru mijloace fixe'!$C$5:$C$104,$N14))</f>
        <v/>
      </c>
      <c r="D14" s="39" t="str">
        <f>IF($N14=0,"",INDEX('Registru mijloace fixe'!$D$5:$D$104,$N14))</f>
        <v/>
      </c>
      <c r="E14" s="38" t="str">
        <f t="shared" si="0"/>
        <v/>
      </c>
      <c r="F14" s="40" t="str">
        <f>IF($N14=0,"",INDEX('Registru mijloace fixe'!$K$5:$K$104,$N14))</f>
        <v/>
      </c>
      <c r="G14" s="41" t="str">
        <f>IF($N14=0,"",INDEX('Registru mijloace fixe'!$S$5:$S$104,$N14))</f>
        <v/>
      </c>
      <c r="H14" s="41" t="str">
        <f>IF($N14=0,"",INDEX('Registru mijloace fixe'!$T$5:$T$104,$N14))</f>
        <v/>
      </c>
      <c r="I14" s="41" t="str">
        <f>IF($N14=0,"",INDEX('Registru mijloace fixe'!$U$5:$U$104,$N14))</f>
        <v/>
      </c>
      <c r="N14" s="30">
        <f>IFERROR(_xlfn.AGGREGATE(15,6,(ROW('Registru mijloace fixe'!$S$5:$S$104)-4)/(ISNUMBER('Registru mijloace fixe'!$S$5:$S$104)*('Registru mijloace fixe'!$S$5:$S$104&gt;0.004)),9),0)</f>
        <v>0</v>
      </c>
    </row>
    <row r="15" spans="2:14" x14ac:dyDescent="0.2">
      <c r="B15" s="38" t="str">
        <f>IF($N15=0,"",INDEX('Registru mijloace fixe'!$B$5:$B$104,$N15))</f>
        <v/>
      </c>
      <c r="C15" s="39" t="str">
        <f>IF($N15=0,"",INDEX('Registru mijloace fixe'!$C$5:$C$104,$N15))</f>
        <v/>
      </c>
      <c r="D15" s="39" t="str">
        <f>IF($N15=0,"",INDEX('Registru mijloace fixe'!$D$5:$D$104,$N15))</f>
        <v/>
      </c>
      <c r="E15" s="38" t="str">
        <f t="shared" si="0"/>
        <v/>
      </c>
      <c r="F15" s="40" t="str">
        <f>IF($N15=0,"",INDEX('Registru mijloace fixe'!$K$5:$K$104,$N15))</f>
        <v/>
      </c>
      <c r="G15" s="41" t="str">
        <f>IF($N15=0,"",INDEX('Registru mijloace fixe'!$S$5:$S$104,$N15))</f>
        <v/>
      </c>
      <c r="H15" s="41" t="str">
        <f>IF($N15=0,"",INDEX('Registru mijloace fixe'!$T$5:$T$104,$N15))</f>
        <v/>
      </c>
      <c r="I15" s="41" t="str">
        <f>IF($N15=0,"",INDEX('Registru mijloace fixe'!$U$5:$U$104,$N15))</f>
        <v/>
      </c>
      <c r="N15" s="30">
        <f>IFERROR(_xlfn.AGGREGATE(15,6,(ROW('Registru mijloace fixe'!$S$5:$S$104)-4)/(ISNUMBER('Registru mijloace fixe'!$S$5:$S$104)*('Registru mijloace fixe'!$S$5:$S$104&gt;0.004)),10),0)</f>
        <v>0</v>
      </c>
    </row>
    <row r="16" spans="2:14" x14ac:dyDescent="0.2">
      <c r="B16" s="38" t="str">
        <f>IF($N16=0,"",INDEX('Registru mijloace fixe'!$B$5:$B$104,$N16))</f>
        <v/>
      </c>
      <c r="C16" s="39" t="str">
        <f>IF($N16=0,"",INDEX('Registru mijloace fixe'!$C$5:$C$104,$N16))</f>
        <v/>
      </c>
      <c r="D16" s="39" t="str">
        <f>IF($N16=0,"",INDEX('Registru mijloace fixe'!$D$5:$D$104,$N16))</f>
        <v/>
      </c>
      <c r="E16" s="38" t="str">
        <f t="shared" si="0"/>
        <v/>
      </c>
      <c r="F16" s="40" t="str">
        <f>IF($N16=0,"",INDEX('Registru mijloace fixe'!$K$5:$K$104,$N16))</f>
        <v/>
      </c>
      <c r="G16" s="41" t="str">
        <f>IF($N16=0,"",INDEX('Registru mijloace fixe'!$S$5:$S$104,$N16))</f>
        <v/>
      </c>
      <c r="H16" s="41" t="str">
        <f>IF($N16=0,"",INDEX('Registru mijloace fixe'!$T$5:$T$104,$N16))</f>
        <v/>
      </c>
      <c r="I16" s="41" t="str">
        <f>IF($N16=0,"",INDEX('Registru mijloace fixe'!$U$5:$U$104,$N16))</f>
        <v/>
      </c>
      <c r="N16" s="30">
        <f>IFERROR(_xlfn.AGGREGATE(15,6,(ROW('Registru mijloace fixe'!$S$5:$S$104)-4)/(ISNUMBER('Registru mijloace fixe'!$S$5:$S$104)*('Registru mijloace fixe'!$S$5:$S$104&gt;0.004)),11),0)</f>
        <v>0</v>
      </c>
    </row>
    <row r="17" spans="2:14" x14ac:dyDescent="0.2">
      <c r="B17" s="38" t="str">
        <f>IF($N17=0,"",INDEX('Registru mijloace fixe'!$B$5:$B$104,$N17))</f>
        <v/>
      </c>
      <c r="C17" s="39" t="str">
        <f>IF($N17=0,"",INDEX('Registru mijloace fixe'!$C$5:$C$104,$N17))</f>
        <v/>
      </c>
      <c r="D17" s="39" t="str">
        <f>IF($N17=0,"",INDEX('Registru mijloace fixe'!$D$5:$D$104,$N17))</f>
        <v/>
      </c>
      <c r="E17" s="38" t="str">
        <f t="shared" si="0"/>
        <v/>
      </c>
      <c r="F17" s="40" t="str">
        <f>IF($N17=0,"",INDEX('Registru mijloace fixe'!$K$5:$K$104,$N17))</f>
        <v/>
      </c>
      <c r="G17" s="41" t="str">
        <f>IF($N17=0,"",INDEX('Registru mijloace fixe'!$S$5:$S$104,$N17))</f>
        <v/>
      </c>
      <c r="H17" s="41" t="str">
        <f>IF($N17=0,"",INDEX('Registru mijloace fixe'!$T$5:$T$104,$N17))</f>
        <v/>
      </c>
      <c r="I17" s="41" t="str">
        <f>IF($N17=0,"",INDEX('Registru mijloace fixe'!$U$5:$U$104,$N17))</f>
        <v/>
      </c>
      <c r="N17" s="30">
        <f>IFERROR(_xlfn.AGGREGATE(15,6,(ROW('Registru mijloace fixe'!$S$5:$S$104)-4)/(ISNUMBER('Registru mijloace fixe'!$S$5:$S$104)*('Registru mijloace fixe'!$S$5:$S$104&gt;0.004)),12),0)</f>
        <v>0</v>
      </c>
    </row>
    <row r="18" spans="2:14" x14ac:dyDescent="0.2">
      <c r="B18" s="38" t="str">
        <f>IF($N18=0,"",INDEX('Registru mijloace fixe'!$B$5:$B$104,$N18))</f>
        <v/>
      </c>
      <c r="C18" s="39" t="str">
        <f>IF($N18=0,"",INDEX('Registru mijloace fixe'!$C$5:$C$104,$N18))</f>
        <v/>
      </c>
      <c r="D18" s="39" t="str">
        <f>IF($N18=0,"",INDEX('Registru mijloace fixe'!$D$5:$D$104,$N18))</f>
        <v/>
      </c>
      <c r="E18" s="38" t="str">
        <f t="shared" si="0"/>
        <v/>
      </c>
      <c r="F18" s="40" t="str">
        <f>IF($N18=0,"",INDEX('Registru mijloace fixe'!$K$5:$K$104,$N18))</f>
        <v/>
      </c>
      <c r="G18" s="41" t="str">
        <f>IF($N18=0,"",INDEX('Registru mijloace fixe'!$S$5:$S$104,$N18))</f>
        <v/>
      </c>
      <c r="H18" s="41" t="str">
        <f>IF($N18=0,"",INDEX('Registru mijloace fixe'!$T$5:$T$104,$N18))</f>
        <v/>
      </c>
      <c r="I18" s="41" t="str">
        <f>IF($N18=0,"",INDEX('Registru mijloace fixe'!$U$5:$U$104,$N18))</f>
        <v/>
      </c>
      <c r="N18" s="30">
        <f>IFERROR(_xlfn.AGGREGATE(15,6,(ROW('Registru mijloace fixe'!$S$5:$S$104)-4)/(ISNUMBER('Registru mijloace fixe'!$S$5:$S$104)*('Registru mijloace fixe'!$S$5:$S$104&gt;0.004)),13),0)</f>
        <v>0</v>
      </c>
    </row>
    <row r="19" spans="2:14" x14ac:dyDescent="0.2">
      <c r="B19" s="38" t="str">
        <f>IF($N19=0,"",INDEX('Registru mijloace fixe'!$B$5:$B$104,$N19))</f>
        <v/>
      </c>
      <c r="C19" s="39" t="str">
        <f>IF($N19=0,"",INDEX('Registru mijloace fixe'!$C$5:$C$104,$N19))</f>
        <v/>
      </c>
      <c r="D19" s="39" t="str">
        <f>IF($N19=0,"",INDEX('Registru mijloace fixe'!$D$5:$D$104,$N19))</f>
        <v/>
      </c>
      <c r="E19" s="38" t="str">
        <f t="shared" si="0"/>
        <v/>
      </c>
      <c r="F19" s="40" t="str">
        <f>IF($N19=0,"",INDEX('Registru mijloace fixe'!$K$5:$K$104,$N19))</f>
        <v/>
      </c>
      <c r="G19" s="41" t="str">
        <f>IF($N19=0,"",INDEX('Registru mijloace fixe'!$S$5:$S$104,$N19))</f>
        <v/>
      </c>
      <c r="H19" s="41" t="str">
        <f>IF($N19=0,"",INDEX('Registru mijloace fixe'!$T$5:$T$104,$N19))</f>
        <v/>
      </c>
      <c r="I19" s="41" t="str">
        <f>IF($N19=0,"",INDEX('Registru mijloace fixe'!$U$5:$U$104,$N19))</f>
        <v/>
      </c>
      <c r="N19" s="30">
        <f>IFERROR(_xlfn.AGGREGATE(15,6,(ROW('Registru mijloace fixe'!$S$5:$S$104)-4)/(ISNUMBER('Registru mijloace fixe'!$S$5:$S$104)*('Registru mijloace fixe'!$S$5:$S$104&gt;0.004)),14),0)</f>
        <v>0</v>
      </c>
    </row>
    <row r="20" spans="2:14" x14ac:dyDescent="0.2">
      <c r="B20" s="38" t="str">
        <f>IF($N20=0,"",INDEX('Registru mijloace fixe'!$B$5:$B$104,$N20))</f>
        <v/>
      </c>
      <c r="C20" s="39" t="str">
        <f>IF($N20=0,"",INDEX('Registru mijloace fixe'!$C$5:$C$104,$N20))</f>
        <v/>
      </c>
      <c r="D20" s="39" t="str">
        <f>IF($N20=0,"",INDEX('Registru mijloace fixe'!$D$5:$D$104,$N20))</f>
        <v/>
      </c>
      <c r="E20" s="38" t="str">
        <f t="shared" si="0"/>
        <v/>
      </c>
      <c r="F20" s="40" t="str">
        <f>IF($N20=0,"",INDEX('Registru mijloace fixe'!$K$5:$K$104,$N20))</f>
        <v/>
      </c>
      <c r="G20" s="41" t="str">
        <f>IF($N20=0,"",INDEX('Registru mijloace fixe'!$S$5:$S$104,$N20))</f>
        <v/>
      </c>
      <c r="H20" s="41" t="str">
        <f>IF($N20=0,"",INDEX('Registru mijloace fixe'!$T$5:$T$104,$N20))</f>
        <v/>
      </c>
      <c r="I20" s="41" t="str">
        <f>IF($N20=0,"",INDEX('Registru mijloace fixe'!$U$5:$U$104,$N20))</f>
        <v/>
      </c>
      <c r="N20" s="30">
        <f>IFERROR(_xlfn.AGGREGATE(15,6,(ROW('Registru mijloace fixe'!$S$5:$S$104)-4)/(ISNUMBER('Registru mijloace fixe'!$S$5:$S$104)*('Registru mijloace fixe'!$S$5:$S$104&gt;0.004)),15),0)</f>
        <v>0</v>
      </c>
    </row>
    <row r="21" spans="2:14" x14ac:dyDescent="0.2">
      <c r="B21" s="38" t="str">
        <f>IF($N21=0,"",INDEX('Registru mijloace fixe'!$B$5:$B$104,$N21))</f>
        <v/>
      </c>
      <c r="C21" s="39" t="str">
        <f>IF($N21=0,"",INDEX('Registru mijloace fixe'!$C$5:$C$104,$N21))</f>
        <v/>
      </c>
      <c r="D21" s="39" t="str">
        <f>IF($N21=0,"",INDEX('Registru mijloace fixe'!$D$5:$D$104,$N21))</f>
        <v/>
      </c>
      <c r="E21" s="38" t="str">
        <f t="shared" si="0"/>
        <v/>
      </c>
      <c r="F21" s="40" t="str">
        <f>IF($N21=0,"",INDEX('Registru mijloace fixe'!$K$5:$K$104,$N21))</f>
        <v/>
      </c>
      <c r="G21" s="41" t="str">
        <f>IF($N21=0,"",INDEX('Registru mijloace fixe'!$S$5:$S$104,$N21))</f>
        <v/>
      </c>
      <c r="H21" s="41" t="str">
        <f>IF($N21=0,"",INDEX('Registru mijloace fixe'!$T$5:$T$104,$N21))</f>
        <v/>
      </c>
      <c r="I21" s="41" t="str">
        <f>IF($N21=0,"",INDEX('Registru mijloace fixe'!$U$5:$U$104,$N21))</f>
        <v/>
      </c>
      <c r="N21" s="30">
        <f>IFERROR(_xlfn.AGGREGATE(15,6,(ROW('Registru mijloace fixe'!$S$5:$S$104)-4)/(ISNUMBER('Registru mijloace fixe'!$S$5:$S$104)*('Registru mijloace fixe'!$S$5:$S$104&gt;0.004)),16),0)</f>
        <v>0</v>
      </c>
    </row>
    <row r="22" spans="2:14" x14ac:dyDescent="0.2">
      <c r="B22" s="38" t="str">
        <f>IF($N22=0,"",INDEX('Registru mijloace fixe'!$B$5:$B$104,$N22))</f>
        <v/>
      </c>
      <c r="C22" s="39" t="str">
        <f>IF($N22=0,"",INDEX('Registru mijloace fixe'!$C$5:$C$104,$N22))</f>
        <v/>
      </c>
      <c r="D22" s="39" t="str">
        <f>IF($N22=0,"",INDEX('Registru mijloace fixe'!$D$5:$D$104,$N22))</f>
        <v/>
      </c>
      <c r="E22" s="38" t="str">
        <f t="shared" si="0"/>
        <v/>
      </c>
      <c r="F22" s="40" t="str">
        <f>IF($N22=0,"",INDEX('Registru mijloace fixe'!$K$5:$K$104,$N22))</f>
        <v/>
      </c>
      <c r="G22" s="41" t="str">
        <f>IF($N22=0,"",INDEX('Registru mijloace fixe'!$S$5:$S$104,$N22))</f>
        <v/>
      </c>
      <c r="H22" s="41" t="str">
        <f>IF($N22=0,"",INDEX('Registru mijloace fixe'!$T$5:$T$104,$N22))</f>
        <v/>
      </c>
      <c r="I22" s="41" t="str">
        <f>IF($N22=0,"",INDEX('Registru mijloace fixe'!$U$5:$U$104,$N22))</f>
        <v/>
      </c>
      <c r="N22" s="30">
        <f>IFERROR(_xlfn.AGGREGATE(15,6,(ROW('Registru mijloace fixe'!$S$5:$S$104)-4)/(ISNUMBER('Registru mijloace fixe'!$S$5:$S$104)*('Registru mijloace fixe'!$S$5:$S$104&gt;0.004)),17),0)</f>
        <v>0</v>
      </c>
    </row>
    <row r="23" spans="2:14" x14ac:dyDescent="0.2">
      <c r="B23" s="38" t="str">
        <f>IF($N23=0,"",INDEX('Registru mijloace fixe'!$B$5:$B$104,$N23))</f>
        <v/>
      </c>
      <c r="C23" s="39" t="str">
        <f>IF($N23=0,"",INDEX('Registru mijloace fixe'!$C$5:$C$104,$N23))</f>
        <v/>
      </c>
      <c r="D23" s="39" t="str">
        <f>IF($N23=0,"",INDEX('Registru mijloace fixe'!$D$5:$D$104,$N23))</f>
        <v/>
      </c>
      <c r="E23" s="38" t="str">
        <f t="shared" si="0"/>
        <v/>
      </c>
      <c r="F23" s="40" t="str">
        <f>IF($N23=0,"",INDEX('Registru mijloace fixe'!$K$5:$K$104,$N23))</f>
        <v/>
      </c>
      <c r="G23" s="41" t="str">
        <f>IF($N23=0,"",INDEX('Registru mijloace fixe'!$S$5:$S$104,$N23))</f>
        <v/>
      </c>
      <c r="H23" s="41" t="str">
        <f>IF($N23=0,"",INDEX('Registru mijloace fixe'!$T$5:$T$104,$N23))</f>
        <v/>
      </c>
      <c r="I23" s="41" t="str">
        <f>IF($N23=0,"",INDEX('Registru mijloace fixe'!$U$5:$U$104,$N23))</f>
        <v/>
      </c>
      <c r="N23" s="30">
        <f>IFERROR(_xlfn.AGGREGATE(15,6,(ROW('Registru mijloace fixe'!$S$5:$S$104)-4)/(ISNUMBER('Registru mijloace fixe'!$S$5:$S$104)*('Registru mijloace fixe'!$S$5:$S$104&gt;0.004)),18),0)</f>
        <v>0</v>
      </c>
    </row>
    <row r="24" spans="2:14" x14ac:dyDescent="0.2">
      <c r="B24" s="38" t="str">
        <f>IF($N24=0,"",INDEX('Registru mijloace fixe'!$B$5:$B$104,$N24))</f>
        <v/>
      </c>
      <c r="C24" s="39" t="str">
        <f>IF($N24=0,"",INDEX('Registru mijloace fixe'!$C$5:$C$104,$N24))</f>
        <v/>
      </c>
      <c r="D24" s="39" t="str">
        <f>IF($N24=0,"",INDEX('Registru mijloace fixe'!$D$5:$D$104,$N24))</f>
        <v/>
      </c>
      <c r="E24" s="38" t="str">
        <f t="shared" si="0"/>
        <v/>
      </c>
      <c r="F24" s="40" t="str">
        <f>IF($N24=0,"",INDEX('Registru mijloace fixe'!$K$5:$K$104,$N24))</f>
        <v/>
      </c>
      <c r="G24" s="41" t="str">
        <f>IF($N24=0,"",INDEX('Registru mijloace fixe'!$S$5:$S$104,$N24))</f>
        <v/>
      </c>
      <c r="H24" s="41" t="str">
        <f>IF($N24=0,"",INDEX('Registru mijloace fixe'!$T$5:$T$104,$N24))</f>
        <v/>
      </c>
      <c r="I24" s="41" t="str">
        <f>IF($N24=0,"",INDEX('Registru mijloace fixe'!$U$5:$U$104,$N24))</f>
        <v/>
      </c>
      <c r="N24" s="30">
        <f>IFERROR(_xlfn.AGGREGATE(15,6,(ROW('Registru mijloace fixe'!$S$5:$S$104)-4)/(ISNUMBER('Registru mijloace fixe'!$S$5:$S$104)*('Registru mijloace fixe'!$S$5:$S$104&gt;0.004)),19),0)</f>
        <v>0</v>
      </c>
    </row>
    <row r="25" spans="2:14" x14ac:dyDescent="0.2">
      <c r="B25" s="38" t="str">
        <f>IF($N25=0,"",INDEX('Registru mijloace fixe'!$B$5:$B$104,$N25))</f>
        <v/>
      </c>
      <c r="C25" s="39" t="str">
        <f>IF($N25=0,"",INDEX('Registru mijloace fixe'!$C$5:$C$104,$N25))</f>
        <v/>
      </c>
      <c r="D25" s="39" t="str">
        <f>IF($N25=0,"",INDEX('Registru mijloace fixe'!$D$5:$D$104,$N25))</f>
        <v/>
      </c>
      <c r="E25" s="38" t="str">
        <f t="shared" si="0"/>
        <v/>
      </c>
      <c r="F25" s="40" t="str">
        <f>IF($N25=0,"",INDEX('Registru mijloace fixe'!$K$5:$K$104,$N25))</f>
        <v/>
      </c>
      <c r="G25" s="41" t="str">
        <f>IF($N25=0,"",INDEX('Registru mijloace fixe'!$S$5:$S$104,$N25))</f>
        <v/>
      </c>
      <c r="H25" s="41" t="str">
        <f>IF($N25=0,"",INDEX('Registru mijloace fixe'!$T$5:$T$104,$N25))</f>
        <v/>
      </c>
      <c r="I25" s="41" t="str">
        <f>IF($N25=0,"",INDEX('Registru mijloace fixe'!$U$5:$U$104,$N25))</f>
        <v/>
      </c>
      <c r="N25" s="30">
        <f>IFERROR(_xlfn.AGGREGATE(15,6,(ROW('Registru mijloace fixe'!$S$5:$S$104)-4)/(ISNUMBER('Registru mijloace fixe'!$S$5:$S$104)*('Registru mijloace fixe'!$S$5:$S$104&gt;0.004)),20),0)</f>
        <v>0</v>
      </c>
    </row>
    <row r="26" spans="2:14" x14ac:dyDescent="0.2">
      <c r="B26" s="38" t="str">
        <f>IF($N26=0,"",INDEX('Registru mijloace fixe'!$B$5:$B$104,$N26))</f>
        <v/>
      </c>
      <c r="C26" s="39" t="str">
        <f>IF($N26=0,"",INDEX('Registru mijloace fixe'!$C$5:$C$104,$N26))</f>
        <v/>
      </c>
      <c r="D26" s="39" t="str">
        <f>IF($N26=0,"",INDEX('Registru mijloace fixe'!$D$5:$D$104,$N26))</f>
        <v/>
      </c>
      <c r="E26" s="38" t="str">
        <f t="shared" si="0"/>
        <v/>
      </c>
      <c r="F26" s="40" t="str">
        <f>IF($N26=0,"",INDEX('Registru mijloace fixe'!$K$5:$K$104,$N26))</f>
        <v/>
      </c>
      <c r="G26" s="41" t="str">
        <f>IF($N26=0,"",INDEX('Registru mijloace fixe'!$S$5:$S$104,$N26))</f>
        <v/>
      </c>
      <c r="H26" s="41" t="str">
        <f>IF($N26=0,"",INDEX('Registru mijloace fixe'!$T$5:$T$104,$N26))</f>
        <v/>
      </c>
      <c r="I26" s="41" t="str">
        <f>IF($N26=0,"",INDEX('Registru mijloace fixe'!$U$5:$U$104,$N26))</f>
        <v/>
      </c>
      <c r="N26" s="30">
        <f>IFERROR(_xlfn.AGGREGATE(15,6,(ROW('Registru mijloace fixe'!$S$5:$S$104)-4)/(ISNUMBER('Registru mijloace fixe'!$S$5:$S$104)*('Registru mijloace fixe'!$S$5:$S$104&gt;0.004)),21),0)</f>
        <v>0</v>
      </c>
    </row>
    <row r="27" spans="2:14" x14ac:dyDescent="0.2">
      <c r="B27" s="38" t="str">
        <f>IF($N27=0,"",INDEX('Registru mijloace fixe'!$B$5:$B$104,$N27))</f>
        <v/>
      </c>
      <c r="C27" s="39" t="str">
        <f>IF($N27=0,"",INDEX('Registru mijloace fixe'!$C$5:$C$104,$N27))</f>
        <v/>
      </c>
      <c r="D27" s="39" t="str">
        <f>IF($N27=0,"",INDEX('Registru mijloace fixe'!$D$5:$D$104,$N27))</f>
        <v/>
      </c>
      <c r="E27" s="38" t="str">
        <f t="shared" si="0"/>
        <v/>
      </c>
      <c r="F27" s="40" t="str">
        <f>IF($N27=0,"",INDEX('Registru mijloace fixe'!$K$5:$K$104,$N27))</f>
        <v/>
      </c>
      <c r="G27" s="41" t="str">
        <f>IF($N27=0,"",INDEX('Registru mijloace fixe'!$S$5:$S$104,$N27))</f>
        <v/>
      </c>
      <c r="H27" s="41" t="str">
        <f>IF($N27=0,"",INDEX('Registru mijloace fixe'!$T$5:$T$104,$N27))</f>
        <v/>
      </c>
      <c r="I27" s="41" t="str">
        <f>IF($N27=0,"",INDEX('Registru mijloace fixe'!$U$5:$U$104,$N27))</f>
        <v/>
      </c>
      <c r="N27" s="30">
        <f>IFERROR(_xlfn.AGGREGATE(15,6,(ROW('Registru mijloace fixe'!$S$5:$S$104)-4)/(ISNUMBER('Registru mijloace fixe'!$S$5:$S$104)*('Registru mijloace fixe'!$S$5:$S$104&gt;0.004)),22),0)</f>
        <v>0</v>
      </c>
    </row>
    <row r="28" spans="2:14" x14ac:dyDescent="0.2">
      <c r="B28" s="38" t="str">
        <f>IF($N28=0,"",INDEX('Registru mijloace fixe'!$B$5:$B$104,$N28))</f>
        <v/>
      </c>
      <c r="C28" s="39" t="str">
        <f>IF($N28=0,"",INDEX('Registru mijloace fixe'!$C$5:$C$104,$N28))</f>
        <v/>
      </c>
      <c r="D28" s="39" t="str">
        <f>IF($N28=0,"",INDEX('Registru mijloace fixe'!$D$5:$D$104,$N28))</f>
        <v/>
      </c>
      <c r="E28" s="38" t="str">
        <f t="shared" si="0"/>
        <v/>
      </c>
      <c r="F28" s="40" t="str">
        <f>IF($N28=0,"",INDEX('Registru mijloace fixe'!$K$5:$K$104,$N28))</f>
        <v/>
      </c>
      <c r="G28" s="41" t="str">
        <f>IF($N28=0,"",INDEX('Registru mijloace fixe'!$S$5:$S$104,$N28))</f>
        <v/>
      </c>
      <c r="H28" s="41" t="str">
        <f>IF($N28=0,"",INDEX('Registru mijloace fixe'!$T$5:$T$104,$N28))</f>
        <v/>
      </c>
      <c r="I28" s="41" t="str">
        <f>IF($N28=0,"",INDEX('Registru mijloace fixe'!$U$5:$U$104,$N28))</f>
        <v/>
      </c>
      <c r="N28" s="30">
        <f>IFERROR(_xlfn.AGGREGATE(15,6,(ROW('Registru mijloace fixe'!$S$5:$S$104)-4)/(ISNUMBER('Registru mijloace fixe'!$S$5:$S$104)*('Registru mijloace fixe'!$S$5:$S$104&gt;0.004)),23),0)</f>
        <v>0</v>
      </c>
    </row>
    <row r="29" spans="2:14" x14ac:dyDescent="0.2">
      <c r="B29" s="38" t="str">
        <f>IF($N29=0,"",INDEX('Registru mijloace fixe'!$B$5:$B$104,$N29))</f>
        <v/>
      </c>
      <c r="C29" s="39" t="str">
        <f>IF($N29=0,"",INDEX('Registru mijloace fixe'!$C$5:$C$104,$N29))</f>
        <v/>
      </c>
      <c r="D29" s="39" t="str">
        <f>IF($N29=0,"",INDEX('Registru mijloace fixe'!$D$5:$D$104,$N29))</f>
        <v/>
      </c>
      <c r="E29" s="38" t="str">
        <f t="shared" si="0"/>
        <v/>
      </c>
      <c r="F29" s="40" t="str">
        <f>IF($N29=0,"",INDEX('Registru mijloace fixe'!$K$5:$K$104,$N29))</f>
        <v/>
      </c>
      <c r="G29" s="41" t="str">
        <f>IF($N29=0,"",INDEX('Registru mijloace fixe'!$S$5:$S$104,$N29))</f>
        <v/>
      </c>
      <c r="H29" s="41" t="str">
        <f>IF($N29=0,"",INDEX('Registru mijloace fixe'!$T$5:$T$104,$N29))</f>
        <v/>
      </c>
      <c r="I29" s="41" t="str">
        <f>IF($N29=0,"",INDEX('Registru mijloace fixe'!$U$5:$U$104,$N29))</f>
        <v/>
      </c>
      <c r="N29" s="30">
        <f>IFERROR(_xlfn.AGGREGATE(15,6,(ROW('Registru mijloace fixe'!$S$5:$S$104)-4)/(ISNUMBER('Registru mijloace fixe'!$S$5:$S$104)*('Registru mijloace fixe'!$S$5:$S$104&gt;0.004)),24),0)</f>
        <v>0</v>
      </c>
    </row>
    <row r="30" spans="2:14" x14ac:dyDescent="0.2">
      <c r="B30" s="38" t="str">
        <f>IF($N30=0,"",INDEX('Registru mijloace fixe'!$B$5:$B$104,$N30))</f>
        <v/>
      </c>
      <c r="C30" s="39" t="str">
        <f>IF($N30=0,"",INDEX('Registru mijloace fixe'!$C$5:$C$104,$N30))</f>
        <v/>
      </c>
      <c r="D30" s="39" t="str">
        <f>IF($N30=0,"",INDEX('Registru mijloace fixe'!$D$5:$D$104,$N30))</f>
        <v/>
      </c>
      <c r="E30" s="38" t="str">
        <f t="shared" si="0"/>
        <v/>
      </c>
      <c r="F30" s="40" t="str">
        <f>IF($N30=0,"",INDEX('Registru mijloace fixe'!$K$5:$K$104,$N30))</f>
        <v/>
      </c>
      <c r="G30" s="41" t="str">
        <f>IF($N30=0,"",INDEX('Registru mijloace fixe'!$S$5:$S$104,$N30))</f>
        <v/>
      </c>
      <c r="H30" s="41" t="str">
        <f>IF($N30=0,"",INDEX('Registru mijloace fixe'!$T$5:$T$104,$N30))</f>
        <v/>
      </c>
      <c r="I30" s="41" t="str">
        <f>IF($N30=0,"",INDEX('Registru mijloace fixe'!$U$5:$U$104,$N30))</f>
        <v/>
      </c>
      <c r="N30" s="30">
        <f>IFERROR(_xlfn.AGGREGATE(15,6,(ROW('Registru mijloace fixe'!$S$5:$S$104)-4)/(ISNUMBER('Registru mijloace fixe'!$S$5:$S$104)*('Registru mijloace fixe'!$S$5:$S$104&gt;0.004)),25),0)</f>
        <v>0</v>
      </c>
    </row>
    <row r="31" spans="2:14" x14ac:dyDescent="0.2">
      <c r="B31" s="38" t="str">
        <f>IF($N31=0,"",INDEX('Registru mijloace fixe'!$B$5:$B$104,$N31))</f>
        <v/>
      </c>
      <c r="C31" s="39" t="str">
        <f>IF($N31=0,"",INDEX('Registru mijloace fixe'!$C$5:$C$104,$N31))</f>
        <v/>
      </c>
      <c r="D31" s="39" t="str">
        <f>IF($N31=0,"",INDEX('Registru mijloace fixe'!$D$5:$D$104,$N31))</f>
        <v/>
      </c>
      <c r="E31" s="38" t="str">
        <f t="shared" si="0"/>
        <v/>
      </c>
      <c r="F31" s="40" t="str">
        <f>IF($N31=0,"",INDEX('Registru mijloace fixe'!$K$5:$K$104,$N31))</f>
        <v/>
      </c>
      <c r="G31" s="41" t="str">
        <f>IF($N31=0,"",INDEX('Registru mijloace fixe'!$S$5:$S$104,$N31))</f>
        <v/>
      </c>
      <c r="H31" s="41" t="str">
        <f>IF($N31=0,"",INDEX('Registru mijloace fixe'!$T$5:$T$104,$N31))</f>
        <v/>
      </c>
      <c r="I31" s="41" t="str">
        <f>IF($N31=0,"",INDEX('Registru mijloace fixe'!$U$5:$U$104,$N31))</f>
        <v/>
      </c>
      <c r="N31" s="30">
        <f>IFERROR(_xlfn.AGGREGATE(15,6,(ROW('Registru mijloace fixe'!$S$5:$S$104)-4)/(ISNUMBER('Registru mijloace fixe'!$S$5:$S$104)*('Registru mijloace fixe'!$S$5:$S$104&gt;0.004)),26),0)</f>
        <v>0</v>
      </c>
    </row>
    <row r="32" spans="2:14" x14ac:dyDescent="0.2">
      <c r="B32" s="38" t="str">
        <f>IF($N32=0,"",INDEX('Registru mijloace fixe'!$B$5:$B$104,$N32))</f>
        <v/>
      </c>
      <c r="C32" s="39" t="str">
        <f>IF($N32=0,"",INDEX('Registru mijloace fixe'!$C$5:$C$104,$N32))</f>
        <v/>
      </c>
      <c r="D32" s="39" t="str">
        <f>IF($N32=0,"",INDEX('Registru mijloace fixe'!$D$5:$D$104,$N32))</f>
        <v/>
      </c>
      <c r="E32" s="38" t="str">
        <f t="shared" si="0"/>
        <v/>
      </c>
      <c r="F32" s="40" t="str">
        <f>IF($N32=0,"",INDEX('Registru mijloace fixe'!$K$5:$K$104,$N32))</f>
        <v/>
      </c>
      <c r="G32" s="41" t="str">
        <f>IF($N32=0,"",INDEX('Registru mijloace fixe'!$S$5:$S$104,$N32))</f>
        <v/>
      </c>
      <c r="H32" s="41" t="str">
        <f>IF($N32=0,"",INDEX('Registru mijloace fixe'!$T$5:$T$104,$N32))</f>
        <v/>
      </c>
      <c r="I32" s="41" t="str">
        <f>IF($N32=0,"",INDEX('Registru mijloace fixe'!$U$5:$U$104,$N32))</f>
        <v/>
      </c>
      <c r="N32" s="30">
        <f>IFERROR(_xlfn.AGGREGATE(15,6,(ROW('Registru mijloace fixe'!$S$5:$S$104)-4)/(ISNUMBER('Registru mijloace fixe'!$S$5:$S$104)*('Registru mijloace fixe'!$S$5:$S$104&gt;0.004)),27),0)</f>
        <v>0</v>
      </c>
    </row>
    <row r="33" spans="2:14" x14ac:dyDescent="0.2">
      <c r="B33" s="38" t="str">
        <f>IF($N33=0,"",INDEX('Registru mijloace fixe'!$B$5:$B$104,$N33))</f>
        <v/>
      </c>
      <c r="C33" s="39" t="str">
        <f>IF($N33=0,"",INDEX('Registru mijloace fixe'!$C$5:$C$104,$N33))</f>
        <v/>
      </c>
      <c r="D33" s="39" t="str">
        <f>IF($N33=0,"",INDEX('Registru mijloace fixe'!$D$5:$D$104,$N33))</f>
        <v/>
      </c>
      <c r="E33" s="38" t="str">
        <f t="shared" si="0"/>
        <v/>
      </c>
      <c r="F33" s="40" t="str">
        <f>IF($N33=0,"",INDEX('Registru mijloace fixe'!$K$5:$K$104,$N33))</f>
        <v/>
      </c>
      <c r="G33" s="41" t="str">
        <f>IF($N33=0,"",INDEX('Registru mijloace fixe'!$S$5:$S$104,$N33))</f>
        <v/>
      </c>
      <c r="H33" s="41" t="str">
        <f>IF($N33=0,"",INDEX('Registru mijloace fixe'!$T$5:$T$104,$N33))</f>
        <v/>
      </c>
      <c r="I33" s="41" t="str">
        <f>IF($N33=0,"",INDEX('Registru mijloace fixe'!$U$5:$U$104,$N33))</f>
        <v/>
      </c>
      <c r="N33" s="30">
        <f>IFERROR(_xlfn.AGGREGATE(15,6,(ROW('Registru mijloace fixe'!$S$5:$S$104)-4)/(ISNUMBER('Registru mijloace fixe'!$S$5:$S$104)*('Registru mijloace fixe'!$S$5:$S$104&gt;0.004)),28),0)</f>
        <v>0</v>
      </c>
    </row>
    <row r="34" spans="2:14" x14ac:dyDescent="0.2">
      <c r="B34" s="38" t="str">
        <f>IF($N34=0,"",INDEX('Registru mijloace fixe'!$B$5:$B$104,$N34))</f>
        <v/>
      </c>
      <c r="C34" s="39" t="str">
        <f>IF($N34=0,"",INDEX('Registru mijloace fixe'!$C$5:$C$104,$N34))</f>
        <v/>
      </c>
      <c r="D34" s="39" t="str">
        <f>IF($N34=0,"",INDEX('Registru mijloace fixe'!$D$5:$D$104,$N34))</f>
        <v/>
      </c>
      <c r="E34" s="38" t="str">
        <f t="shared" si="0"/>
        <v/>
      </c>
      <c r="F34" s="40" t="str">
        <f>IF($N34=0,"",INDEX('Registru mijloace fixe'!$K$5:$K$104,$N34))</f>
        <v/>
      </c>
      <c r="G34" s="41" t="str">
        <f>IF($N34=0,"",INDEX('Registru mijloace fixe'!$S$5:$S$104,$N34))</f>
        <v/>
      </c>
      <c r="H34" s="41" t="str">
        <f>IF($N34=0,"",INDEX('Registru mijloace fixe'!$T$5:$T$104,$N34))</f>
        <v/>
      </c>
      <c r="I34" s="41" t="str">
        <f>IF($N34=0,"",INDEX('Registru mijloace fixe'!$U$5:$U$104,$N34))</f>
        <v/>
      </c>
      <c r="N34" s="30">
        <f>IFERROR(_xlfn.AGGREGATE(15,6,(ROW('Registru mijloace fixe'!$S$5:$S$104)-4)/(ISNUMBER('Registru mijloace fixe'!$S$5:$S$104)*('Registru mijloace fixe'!$S$5:$S$104&gt;0.004)),29),0)</f>
        <v>0</v>
      </c>
    </row>
    <row r="35" spans="2:14" x14ac:dyDescent="0.2">
      <c r="B35" s="38" t="str">
        <f>IF($N35=0,"",INDEX('Registru mijloace fixe'!$B$5:$B$104,$N35))</f>
        <v/>
      </c>
      <c r="C35" s="39" t="str">
        <f>IF($N35=0,"",INDEX('Registru mijloace fixe'!$C$5:$C$104,$N35))</f>
        <v/>
      </c>
      <c r="D35" s="39" t="str">
        <f>IF($N35=0,"",INDEX('Registru mijloace fixe'!$D$5:$D$104,$N35))</f>
        <v/>
      </c>
      <c r="E35" s="38" t="str">
        <f t="shared" si="0"/>
        <v/>
      </c>
      <c r="F35" s="40" t="str">
        <f>IF($N35=0,"",INDEX('Registru mijloace fixe'!$K$5:$K$104,$N35))</f>
        <v/>
      </c>
      <c r="G35" s="41" t="str">
        <f>IF($N35=0,"",INDEX('Registru mijloace fixe'!$S$5:$S$104,$N35))</f>
        <v/>
      </c>
      <c r="H35" s="41" t="str">
        <f>IF($N35=0,"",INDEX('Registru mijloace fixe'!$T$5:$T$104,$N35))</f>
        <v/>
      </c>
      <c r="I35" s="41" t="str">
        <f>IF($N35=0,"",INDEX('Registru mijloace fixe'!$U$5:$U$104,$N35))</f>
        <v/>
      </c>
      <c r="N35" s="30">
        <f>IFERROR(_xlfn.AGGREGATE(15,6,(ROW('Registru mijloace fixe'!$S$5:$S$104)-4)/(ISNUMBER('Registru mijloace fixe'!$S$5:$S$104)*('Registru mijloace fixe'!$S$5:$S$104&gt;0.004)),30),0)</f>
        <v>0</v>
      </c>
    </row>
    <row r="36" spans="2:14" x14ac:dyDescent="0.2">
      <c r="B36" s="38" t="str">
        <f>IF($N36=0,"",INDEX('Registru mijloace fixe'!$B$5:$B$104,$N36))</f>
        <v/>
      </c>
      <c r="C36" s="39" t="str">
        <f>IF($N36=0,"",INDEX('Registru mijloace fixe'!$C$5:$C$104,$N36))</f>
        <v/>
      </c>
      <c r="D36" s="39" t="str">
        <f>IF($N36=0,"",INDEX('Registru mijloace fixe'!$D$5:$D$104,$N36))</f>
        <v/>
      </c>
      <c r="E36" s="38" t="str">
        <f t="shared" si="0"/>
        <v/>
      </c>
      <c r="F36" s="40" t="str">
        <f>IF($N36=0,"",INDEX('Registru mijloace fixe'!$K$5:$K$104,$N36))</f>
        <v/>
      </c>
      <c r="G36" s="41" t="str">
        <f>IF($N36=0,"",INDEX('Registru mijloace fixe'!$S$5:$S$104,$N36))</f>
        <v/>
      </c>
      <c r="H36" s="41" t="str">
        <f>IF($N36=0,"",INDEX('Registru mijloace fixe'!$T$5:$T$104,$N36))</f>
        <v/>
      </c>
      <c r="I36" s="41" t="str">
        <f>IF($N36=0,"",INDEX('Registru mijloace fixe'!$U$5:$U$104,$N36))</f>
        <v/>
      </c>
      <c r="N36" s="30">
        <f>IFERROR(_xlfn.AGGREGATE(15,6,(ROW('Registru mijloace fixe'!$S$5:$S$104)-4)/(ISNUMBER('Registru mijloace fixe'!$S$5:$S$104)*('Registru mijloace fixe'!$S$5:$S$104&gt;0.004)),31),0)</f>
        <v>0</v>
      </c>
    </row>
    <row r="37" spans="2:14" x14ac:dyDescent="0.2">
      <c r="B37" s="38" t="str">
        <f>IF($N37=0,"",INDEX('Registru mijloace fixe'!$B$5:$B$104,$N37))</f>
        <v/>
      </c>
      <c r="C37" s="39" t="str">
        <f>IF($N37=0,"",INDEX('Registru mijloace fixe'!$C$5:$C$104,$N37))</f>
        <v/>
      </c>
      <c r="D37" s="39" t="str">
        <f>IF($N37=0,"",INDEX('Registru mijloace fixe'!$D$5:$D$104,$N37))</f>
        <v/>
      </c>
      <c r="E37" s="38" t="str">
        <f t="shared" si="0"/>
        <v/>
      </c>
      <c r="F37" s="40" t="str">
        <f>IF($N37=0,"",INDEX('Registru mijloace fixe'!$K$5:$K$104,$N37))</f>
        <v/>
      </c>
      <c r="G37" s="41" t="str">
        <f>IF($N37=0,"",INDEX('Registru mijloace fixe'!$S$5:$S$104,$N37))</f>
        <v/>
      </c>
      <c r="H37" s="41" t="str">
        <f>IF($N37=0,"",INDEX('Registru mijloace fixe'!$T$5:$T$104,$N37))</f>
        <v/>
      </c>
      <c r="I37" s="41" t="str">
        <f>IF($N37=0,"",INDEX('Registru mijloace fixe'!$U$5:$U$104,$N37))</f>
        <v/>
      </c>
      <c r="N37" s="30">
        <f>IFERROR(_xlfn.AGGREGATE(15,6,(ROW('Registru mijloace fixe'!$S$5:$S$104)-4)/(ISNUMBER('Registru mijloace fixe'!$S$5:$S$104)*('Registru mijloace fixe'!$S$5:$S$104&gt;0.004)),32),0)</f>
        <v>0</v>
      </c>
    </row>
    <row r="38" spans="2:14" x14ac:dyDescent="0.2">
      <c r="B38" s="38" t="str">
        <f>IF($N38=0,"",INDEX('Registru mijloace fixe'!$B$5:$B$104,$N38))</f>
        <v/>
      </c>
      <c r="C38" s="39" t="str">
        <f>IF($N38=0,"",INDEX('Registru mijloace fixe'!$C$5:$C$104,$N38))</f>
        <v/>
      </c>
      <c r="D38" s="39" t="str">
        <f>IF($N38=0,"",INDEX('Registru mijloace fixe'!$D$5:$D$104,$N38))</f>
        <v/>
      </c>
      <c r="E38" s="38" t="str">
        <f t="shared" ref="E38:E69" si="1">IF($N38=0,"",IFERROR(VLOOKUP(D38,TabelGrupe,3,FALSE),""))</f>
        <v/>
      </c>
      <c r="F38" s="40" t="str">
        <f>IF($N38=0,"",INDEX('Registru mijloace fixe'!$K$5:$K$104,$N38))</f>
        <v/>
      </c>
      <c r="G38" s="41" t="str">
        <f>IF($N38=0,"",INDEX('Registru mijloace fixe'!$S$5:$S$104,$N38))</f>
        <v/>
      </c>
      <c r="H38" s="41" t="str">
        <f>IF($N38=0,"",INDEX('Registru mijloace fixe'!$T$5:$T$104,$N38))</f>
        <v/>
      </c>
      <c r="I38" s="41" t="str">
        <f>IF($N38=0,"",INDEX('Registru mijloace fixe'!$U$5:$U$104,$N38))</f>
        <v/>
      </c>
      <c r="N38" s="30">
        <f>IFERROR(_xlfn.AGGREGATE(15,6,(ROW('Registru mijloace fixe'!$S$5:$S$104)-4)/(ISNUMBER('Registru mijloace fixe'!$S$5:$S$104)*('Registru mijloace fixe'!$S$5:$S$104&gt;0.004)),33),0)</f>
        <v>0</v>
      </c>
    </row>
    <row r="39" spans="2:14" x14ac:dyDescent="0.2">
      <c r="B39" s="38" t="str">
        <f>IF($N39=0,"",INDEX('Registru mijloace fixe'!$B$5:$B$104,$N39))</f>
        <v/>
      </c>
      <c r="C39" s="39" t="str">
        <f>IF($N39=0,"",INDEX('Registru mijloace fixe'!$C$5:$C$104,$N39))</f>
        <v/>
      </c>
      <c r="D39" s="39" t="str">
        <f>IF($N39=0,"",INDEX('Registru mijloace fixe'!$D$5:$D$104,$N39))</f>
        <v/>
      </c>
      <c r="E39" s="38" t="str">
        <f t="shared" si="1"/>
        <v/>
      </c>
      <c r="F39" s="40" t="str">
        <f>IF($N39=0,"",INDEX('Registru mijloace fixe'!$K$5:$K$104,$N39))</f>
        <v/>
      </c>
      <c r="G39" s="41" t="str">
        <f>IF($N39=0,"",INDEX('Registru mijloace fixe'!$S$5:$S$104,$N39))</f>
        <v/>
      </c>
      <c r="H39" s="41" t="str">
        <f>IF($N39=0,"",INDEX('Registru mijloace fixe'!$T$5:$T$104,$N39))</f>
        <v/>
      </c>
      <c r="I39" s="41" t="str">
        <f>IF($N39=0,"",INDEX('Registru mijloace fixe'!$U$5:$U$104,$N39))</f>
        <v/>
      </c>
      <c r="N39" s="30">
        <f>IFERROR(_xlfn.AGGREGATE(15,6,(ROW('Registru mijloace fixe'!$S$5:$S$104)-4)/(ISNUMBER('Registru mijloace fixe'!$S$5:$S$104)*('Registru mijloace fixe'!$S$5:$S$104&gt;0.004)),34),0)</f>
        <v>0</v>
      </c>
    </row>
    <row r="40" spans="2:14" x14ac:dyDescent="0.2">
      <c r="B40" s="38" t="str">
        <f>IF($N40=0,"",INDEX('Registru mijloace fixe'!$B$5:$B$104,$N40))</f>
        <v/>
      </c>
      <c r="C40" s="39" t="str">
        <f>IF($N40=0,"",INDEX('Registru mijloace fixe'!$C$5:$C$104,$N40))</f>
        <v/>
      </c>
      <c r="D40" s="39" t="str">
        <f>IF($N40=0,"",INDEX('Registru mijloace fixe'!$D$5:$D$104,$N40))</f>
        <v/>
      </c>
      <c r="E40" s="38" t="str">
        <f t="shared" si="1"/>
        <v/>
      </c>
      <c r="F40" s="40" t="str">
        <f>IF($N40=0,"",INDEX('Registru mijloace fixe'!$K$5:$K$104,$N40))</f>
        <v/>
      </c>
      <c r="G40" s="41" t="str">
        <f>IF($N40=0,"",INDEX('Registru mijloace fixe'!$S$5:$S$104,$N40))</f>
        <v/>
      </c>
      <c r="H40" s="41" t="str">
        <f>IF($N40=0,"",INDEX('Registru mijloace fixe'!$T$5:$T$104,$N40))</f>
        <v/>
      </c>
      <c r="I40" s="41" t="str">
        <f>IF($N40=0,"",INDEX('Registru mijloace fixe'!$U$5:$U$104,$N40))</f>
        <v/>
      </c>
      <c r="N40" s="30">
        <f>IFERROR(_xlfn.AGGREGATE(15,6,(ROW('Registru mijloace fixe'!$S$5:$S$104)-4)/(ISNUMBER('Registru mijloace fixe'!$S$5:$S$104)*('Registru mijloace fixe'!$S$5:$S$104&gt;0.004)),35),0)</f>
        <v>0</v>
      </c>
    </row>
    <row r="41" spans="2:14" x14ac:dyDescent="0.2">
      <c r="B41" s="38" t="str">
        <f>IF($N41=0,"",INDEX('Registru mijloace fixe'!$B$5:$B$104,$N41))</f>
        <v/>
      </c>
      <c r="C41" s="39" t="str">
        <f>IF($N41=0,"",INDEX('Registru mijloace fixe'!$C$5:$C$104,$N41))</f>
        <v/>
      </c>
      <c r="D41" s="39" t="str">
        <f>IF($N41=0,"",INDEX('Registru mijloace fixe'!$D$5:$D$104,$N41))</f>
        <v/>
      </c>
      <c r="E41" s="38" t="str">
        <f t="shared" si="1"/>
        <v/>
      </c>
      <c r="F41" s="40" t="str">
        <f>IF($N41=0,"",INDEX('Registru mijloace fixe'!$K$5:$K$104,$N41))</f>
        <v/>
      </c>
      <c r="G41" s="41" t="str">
        <f>IF($N41=0,"",INDEX('Registru mijloace fixe'!$S$5:$S$104,$N41))</f>
        <v/>
      </c>
      <c r="H41" s="41" t="str">
        <f>IF($N41=0,"",INDEX('Registru mijloace fixe'!$T$5:$T$104,$N41))</f>
        <v/>
      </c>
      <c r="I41" s="41" t="str">
        <f>IF($N41=0,"",INDEX('Registru mijloace fixe'!$U$5:$U$104,$N41))</f>
        <v/>
      </c>
      <c r="N41" s="30">
        <f>IFERROR(_xlfn.AGGREGATE(15,6,(ROW('Registru mijloace fixe'!$S$5:$S$104)-4)/(ISNUMBER('Registru mijloace fixe'!$S$5:$S$104)*('Registru mijloace fixe'!$S$5:$S$104&gt;0.004)),36),0)</f>
        <v>0</v>
      </c>
    </row>
    <row r="42" spans="2:14" x14ac:dyDescent="0.2">
      <c r="B42" s="38" t="str">
        <f>IF($N42=0,"",INDEX('Registru mijloace fixe'!$B$5:$B$104,$N42))</f>
        <v/>
      </c>
      <c r="C42" s="39" t="str">
        <f>IF($N42=0,"",INDEX('Registru mijloace fixe'!$C$5:$C$104,$N42))</f>
        <v/>
      </c>
      <c r="D42" s="39" t="str">
        <f>IF($N42=0,"",INDEX('Registru mijloace fixe'!$D$5:$D$104,$N42))</f>
        <v/>
      </c>
      <c r="E42" s="38" t="str">
        <f t="shared" si="1"/>
        <v/>
      </c>
      <c r="F42" s="40" t="str">
        <f>IF($N42=0,"",INDEX('Registru mijloace fixe'!$K$5:$K$104,$N42))</f>
        <v/>
      </c>
      <c r="G42" s="41" t="str">
        <f>IF($N42=0,"",INDEX('Registru mijloace fixe'!$S$5:$S$104,$N42))</f>
        <v/>
      </c>
      <c r="H42" s="41" t="str">
        <f>IF($N42=0,"",INDEX('Registru mijloace fixe'!$T$5:$T$104,$N42))</f>
        <v/>
      </c>
      <c r="I42" s="41" t="str">
        <f>IF($N42=0,"",INDEX('Registru mijloace fixe'!$U$5:$U$104,$N42))</f>
        <v/>
      </c>
      <c r="N42" s="30">
        <f>IFERROR(_xlfn.AGGREGATE(15,6,(ROW('Registru mijloace fixe'!$S$5:$S$104)-4)/(ISNUMBER('Registru mijloace fixe'!$S$5:$S$104)*('Registru mijloace fixe'!$S$5:$S$104&gt;0.004)),37),0)</f>
        <v>0</v>
      </c>
    </row>
    <row r="43" spans="2:14" x14ac:dyDescent="0.2">
      <c r="B43" s="38" t="str">
        <f>IF($N43=0,"",INDEX('Registru mijloace fixe'!$B$5:$B$104,$N43))</f>
        <v/>
      </c>
      <c r="C43" s="39" t="str">
        <f>IF($N43=0,"",INDEX('Registru mijloace fixe'!$C$5:$C$104,$N43))</f>
        <v/>
      </c>
      <c r="D43" s="39" t="str">
        <f>IF($N43=0,"",INDEX('Registru mijloace fixe'!$D$5:$D$104,$N43))</f>
        <v/>
      </c>
      <c r="E43" s="38" t="str">
        <f t="shared" si="1"/>
        <v/>
      </c>
      <c r="F43" s="40" t="str">
        <f>IF($N43=0,"",INDEX('Registru mijloace fixe'!$K$5:$K$104,$N43))</f>
        <v/>
      </c>
      <c r="G43" s="41" t="str">
        <f>IF($N43=0,"",INDEX('Registru mijloace fixe'!$S$5:$S$104,$N43))</f>
        <v/>
      </c>
      <c r="H43" s="41" t="str">
        <f>IF($N43=0,"",INDEX('Registru mijloace fixe'!$T$5:$T$104,$N43))</f>
        <v/>
      </c>
      <c r="I43" s="41" t="str">
        <f>IF($N43=0,"",INDEX('Registru mijloace fixe'!$U$5:$U$104,$N43))</f>
        <v/>
      </c>
      <c r="N43" s="30">
        <f>IFERROR(_xlfn.AGGREGATE(15,6,(ROW('Registru mijloace fixe'!$S$5:$S$104)-4)/(ISNUMBER('Registru mijloace fixe'!$S$5:$S$104)*('Registru mijloace fixe'!$S$5:$S$104&gt;0.004)),38),0)</f>
        <v>0</v>
      </c>
    </row>
    <row r="44" spans="2:14" x14ac:dyDescent="0.2">
      <c r="B44" s="38" t="str">
        <f>IF($N44=0,"",INDEX('Registru mijloace fixe'!$B$5:$B$104,$N44))</f>
        <v/>
      </c>
      <c r="C44" s="39" t="str">
        <f>IF($N44=0,"",INDEX('Registru mijloace fixe'!$C$5:$C$104,$N44))</f>
        <v/>
      </c>
      <c r="D44" s="39" t="str">
        <f>IF($N44=0,"",INDEX('Registru mijloace fixe'!$D$5:$D$104,$N44))</f>
        <v/>
      </c>
      <c r="E44" s="38" t="str">
        <f t="shared" si="1"/>
        <v/>
      </c>
      <c r="F44" s="40" t="str">
        <f>IF($N44=0,"",INDEX('Registru mijloace fixe'!$K$5:$K$104,$N44))</f>
        <v/>
      </c>
      <c r="G44" s="41" t="str">
        <f>IF($N44=0,"",INDEX('Registru mijloace fixe'!$S$5:$S$104,$N44))</f>
        <v/>
      </c>
      <c r="H44" s="41" t="str">
        <f>IF($N44=0,"",INDEX('Registru mijloace fixe'!$T$5:$T$104,$N44))</f>
        <v/>
      </c>
      <c r="I44" s="41" t="str">
        <f>IF($N44=0,"",INDEX('Registru mijloace fixe'!$U$5:$U$104,$N44))</f>
        <v/>
      </c>
      <c r="N44" s="30">
        <f>IFERROR(_xlfn.AGGREGATE(15,6,(ROW('Registru mijloace fixe'!$S$5:$S$104)-4)/(ISNUMBER('Registru mijloace fixe'!$S$5:$S$104)*('Registru mijloace fixe'!$S$5:$S$104&gt;0.004)),39),0)</f>
        <v>0</v>
      </c>
    </row>
    <row r="45" spans="2:14" x14ac:dyDescent="0.2">
      <c r="B45" s="38" t="str">
        <f>IF($N45=0,"",INDEX('Registru mijloace fixe'!$B$5:$B$104,$N45))</f>
        <v/>
      </c>
      <c r="C45" s="39" t="str">
        <f>IF($N45=0,"",INDEX('Registru mijloace fixe'!$C$5:$C$104,$N45))</f>
        <v/>
      </c>
      <c r="D45" s="39" t="str">
        <f>IF($N45=0,"",INDEX('Registru mijloace fixe'!$D$5:$D$104,$N45))</f>
        <v/>
      </c>
      <c r="E45" s="38" t="str">
        <f t="shared" si="1"/>
        <v/>
      </c>
      <c r="F45" s="40" t="str">
        <f>IF($N45=0,"",INDEX('Registru mijloace fixe'!$K$5:$K$104,$N45))</f>
        <v/>
      </c>
      <c r="G45" s="41" t="str">
        <f>IF($N45=0,"",INDEX('Registru mijloace fixe'!$S$5:$S$104,$N45))</f>
        <v/>
      </c>
      <c r="H45" s="41" t="str">
        <f>IF($N45=0,"",INDEX('Registru mijloace fixe'!$T$5:$T$104,$N45))</f>
        <v/>
      </c>
      <c r="I45" s="41" t="str">
        <f>IF($N45=0,"",INDEX('Registru mijloace fixe'!$U$5:$U$104,$N45))</f>
        <v/>
      </c>
      <c r="N45" s="30">
        <f>IFERROR(_xlfn.AGGREGATE(15,6,(ROW('Registru mijloace fixe'!$S$5:$S$104)-4)/(ISNUMBER('Registru mijloace fixe'!$S$5:$S$104)*('Registru mijloace fixe'!$S$5:$S$104&gt;0.004)),40),0)</f>
        <v>0</v>
      </c>
    </row>
    <row r="46" spans="2:14" x14ac:dyDescent="0.2">
      <c r="B46" s="38" t="str">
        <f>IF($N46=0,"",INDEX('Registru mijloace fixe'!$B$5:$B$104,$N46))</f>
        <v/>
      </c>
      <c r="C46" s="39" t="str">
        <f>IF($N46=0,"",INDEX('Registru mijloace fixe'!$C$5:$C$104,$N46))</f>
        <v/>
      </c>
      <c r="D46" s="39" t="str">
        <f>IF($N46=0,"",INDEX('Registru mijloace fixe'!$D$5:$D$104,$N46))</f>
        <v/>
      </c>
      <c r="E46" s="38" t="str">
        <f t="shared" si="1"/>
        <v/>
      </c>
      <c r="F46" s="40" t="str">
        <f>IF($N46=0,"",INDEX('Registru mijloace fixe'!$K$5:$K$104,$N46))</f>
        <v/>
      </c>
      <c r="G46" s="41" t="str">
        <f>IF($N46=0,"",INDEX('Registru mijloace fixe'!$S$5:$S$104,$N46))</f>
        <v/>
      </c>
      <c r="H46" s="41" t="str">
        <f>IF($N46=0,"",INDEX('Registru mijloace fixe'!$T$5:$T$104,$N46))</f>
        <v/>
      </c>
      <c r="I46" s="41" t="str">
        <f>IF($N46=0,"",INDEX('Registru mijloace fixe'!$U$5:$U$104,$N46))</f>
        <v/>
      </c>
      <c r="N46" s="30">
        <f>IFERROR(_xlfn.AGGREGATE(15,6,(ROW('Registru mijloace fixe'!$S$5:$S$104)-4)/(ISNUMBER('Registru mijloace fixe'!$S$5:$S$104)*('Registru mijloace fixe'!$S$5:$S$104&gt;0.004)),41),0)</f>
        <v>0</v>
      </c>
    </row>
    <row r="47" spans="2:14" x14ac:dyDescent="0.2">
      <c r="B47" s="38" t="str">
        <f>IF($N47=0,"",INDEX('Registru mijloace fixe'!$B$5:$B$104,$N47))</f>
        <v/>
      </c>
      <c r="C47" s="39" t="str">
        <f>IF($N47=0,"",INDEX('Registru mijloace fixe'!$C$5:$C$104,$N47))</f>
        <v/>
      </c>
      <c r="D47" s="39" t="str">
        <f>IF($N47=0,"",INDEX('Registru mijloace fixe'!$D$5:$D$104,$N47))</f>
        <v/>
      </c>
      <c r="E47" s="38" t="str">
        <f t="shared" si="1"/>
        <v/>
      </c>
      <c r="F47" s="40" t="str">
        <f>IF($N47=0,"",INDEX('Registru mijloace fixe'!$K$5:$K$104,$N47))</f>
        <v/>
      </c>
      <c r="G47" s="41" t="str">
        <f>IF($N47=0,"",INDEX('Registru mijloace fixe'!$S$5:$S$104,$N47))</f>
        <v/>
      </c>
      <c r="H47" s="41" t="str">
        <f>IF($N47=0,"",INDEX('Registru mijloace fixe'!$T$5:$T$104,$N47))</f>
        <v/>
      </c>
      <c r="I47" s="41" t="str">
        <f>IF($N47=0,"",INDEX('Registru mijloace fixe'!$U$5:$U$104,$N47))</f>
        <v/>
      </c>
      <c r="N47" s="30">
        <f>IFERROR(_xlfn.AGGREGATE(15,6,(ROW('Registru mijloace fixe'!$S$5:$S$104)-4)/(ISNUMBER('Registru mijloace fixe'!$S$5:$S$104)*('Registru mijloace fixe'!$S$5:$S$104&gt;0.004)),42),0)</f>
        <v>0</v>
      </c>
    </row>
    <row r="48" spans="2:14" x14ac:dyDescent="0.2">
      <c r="B48" s="38" t="str">
        <f>IF($N48=0,"",INDEX('Registru mijloace fixe'!$B$5:$B$104,$N48))</f>
        <v/>
      </c>
      <c r="C48" s="39" t="str">
        <f>IF($N48=0,"",INDEX('Registru mijloace fixe'!$C$5:$C$104,$N48))</f>
        <v/>
      </c>
      <c r="D48" s="39" t="str">
        <f>IF($N48=0,"",INDEX('Registru mijloace fixe'!$D$5:$D$104,$N48))</f>
        <v/>
      </c>
      <c r="E48" s="38" t="str">
        <f t="shared" si="1"/>
        <v/>
      </c>
      <c r="F48" s="40" t="str">
        <f>IF($N48=0,"",INDEX('Registru mijloace fixe'!$K$5:$K$104,$N48))</f>
        <v/>
      </c>
      <c r="G48" s="41" t="str">
        <f>IF($N48=0,"",INDEX('Registru mijloace fixe'!$S$5:$S$104,$N48))</f>
        <v/>
      </c>
      <c r="H48" s="41" t="str">
        <f>IF($N48=0,"",INDEX('Registru mijloace fixe'!$T$5:$T$104,$N48))</f>
        <v/>
      </c>
      <c r="I48" s="41" t="str">
        <f>IF($N48=0,"",INDEX('Registru mijloace fixe'!$U$5:$U$104,$N48))</f>
        <v/>
      </c>
      <c r="N48" s="30">
        <f>IFERROR(_xlfn.AGGREGATE(15,6,(ROW('Registru mijloace fixe'!$S$5:$S$104)-4)/(ISNUMBER('Registru mijloace fixe'!$S$5:$S$104)*('Registru mijloace fixe'!$S$5:$S$104&gt;0.004)),43),0)</f>
        <v>0</v>
      </c>
    </row>
    <row r="49" spans="2:14" x14ac:dyDescent="0.2">
      <c r="B49" s="38" t="str">
        <f>IF($N49=0,"",INDEX('Registru mijloace fixe'!$B$5:$B$104,$N49))</f>
        <v/>
      </c>
      <c r="C49" s="39" t="str">
        <f>IF($N49=0,"",INDEX('Registru mijloace fixe'!$C$5:$C$104,$N49))</f>
        <v/>
      </c>
      <c r="D49" s="39" t="str">
        <f>IF($N49=0,"",INDEX('Registru mijloace fixe'!$D$5:$D$104,$N49))</f>
        <v/>
      </c>
      <c r="E49" s="38" t="str">
        <f t="shared" si="1"/>
        <v/>
      </c>
      <c r="F49" s="40" t="str">
        <f>IF($N49=0,"",INDEX('Registru mijloace fixe'!$K$5:$K$104,$N49))</f>
        <v/>
      </c>
      <c r="G49" s="41" t="str">
        <f>IF($N49=0,"",INDEX('Registru mijloace fixe'!$S$5:$S$104,$N49))</f>
        <v/>
      </c>
      <c r="H49" s="41" t="str">
        <f>IF($N49=0,"",INDEX('Registru mijloace fixe'!$T$5:$T$104,$N49))</f>
        <v/>
      </c>
      <c r="I49" s="41" t="str">
        <f>IF($N49=0,"",INDEX('Registru mijloace fixe'!$U$5:$U$104,$N49))</f>
        <v/>
      </c>
      <c r="N49" s="30">
        <f>IFERROR(_xlfn.AGGREGATE(15,6,(ROW('Registru mijloace fixe'!$S$5:$S$104)-4)/(ISNUMBER('Registru mijloace fixe'!$S$5:$S$104)*('Registru mijloace fixe'!$S$5:$S$104&gt;0.004)),44),0)</f>
        <v>0</v>
      </c>
    </row>
    <row r="50" spans="2:14" x14ac:dyDescent="0.2">
      <c r="B50" s="38" t="str">
        <f>IF($N50=0,"",INDEX('Registru mijloace fixe'!$B$5:$B$104,$N50))</f>
        <v/>
      </c>
      <c r="C50" s="39" t="str">
        <f>IF($N50=0,"",INDEX('Registru mijloace fixe'!$C$5:$C$104,$N50))</f>
        <v/>
      </c>
      <c r="D50" s="39" t="str">
        <f>IF($N50=0,"",INDEX('Registru mijloace fixe'!$D$5:$D$104,$N50))</f>
        <v/>
      </c>
      <c r="E50" s="38" t="str">
        <f t="shared" si="1"/>
        <v/>
      </c>
      <c r="F50" s="40" t="str">
        <f>IF($N50=0,"",INDEX('Registru mijloace fixe'!$K$5:$K$104,$N50))</f>
        <v/>
      </c>
      <c r="G50" s="41" t="str">
        <f>IF($N50=0,"",INDEX('Registru mijloace fixe'!$S$5:$S$104,$N50))</f>
        <v/>
      </c>
      <c r="H50" s="41" t="str">
        <f>IF($N50=0,"",INDEX('Registru mijloace fixe'!$T$5:$T$104,$N50))</f>
        <v/>
      </c>
      <c r="I50" s="41" t="str">
        <f>IF($N50=0,"",INDEX('Registru mijloace fixe'!$U$5:$U$104,$N50))</f>
        <v/>
      </c>
      <c r="N50" s="30">
        <f>IFERROR(_xlfn.AGGREGATE(15,6,(ROW('Registru mijloace fixe'!$S$5:$S$104)-4)/(ISNUMBER('Registru mijloace fixe'!$S$5:$S$104)*('Registru mijloace fixe'!$S$5:$S$104&gt;0.004)),45),0)</f>
        <v>0</v>
      </c>
    </row>
    <row r="51" spans="2:14" x14ac:dyDescent="0.2">
      <c r="B51" s="38" t="str">
        <f>IF($N51=0,"",INDEX('Registru mijloace fixe'!$B$5:$B$104,$N51))</f>
        <v/>
      </c>
      <c r="C51" s="39" t="str">
        <f>IF($N51=0,"",INDEX('Registru mijloace fixe'!$C$5:$C$104,$N51))</f>
        <v/>
      </c>
      <c r="D51" s="39" t="str">
        <f>IF($N51=0,"",INDEX('Registru mijloace fixe'!$D$5:$D$104,$N51))</f>
        <v/>
      </c>
      <c r="E51" s="38" t="str">
        <f t="shared" si="1"/>
        <v/>
      </c>
      <c r="F51" s="40" t="str">
        <f>IF($N51=0,"",INDEX('Registru mijloace fixe'!$K$5:$K$104,$N51))</f>
        <v/>
      </c>
      <c r="G51" s="41" t="str">
        <f>IF($N51=0,"",INDEX('Registru mijloace fixe'!$S$5:$S$104,$N51))</f>
        <v/>
      </c>
      <c r="H51" s="41" t="str">
        <f>IF($N51=0,"",INDEX('Registru mijloace fixe'!$T$5:$T$104,$N51))</f>
        <v/>
      </c>
      <c r="I51" s="41" t="str">
        <f>IF($N51=0,"",INDEX('Registru mijloace fixe'!$U$5:$U$104,$N51))</f>
        <v/>
      </c>
      <c r="N51" s="30">
        <f>IFERROR(_xlfn.AGGREGATE(15,6,(ROW('Registru mijloace fixe'!$S$5:$S$104)-4)/(ISNUMBER('Registru mijloace fixe'!$S$5:$S$104)*('Registru mijloace fixe'!$S$5:$S$104&gt;0.004)),46),0)</f>
        <v>0</v>
      </c>
    </row>
    <row r="52" spans="2:14" x14ac:dyDescent="0.2">
      <c r="B52" s="38" t="str">
        <f>IF($N52=0,"",INDEX('Registru mijloace fixe'!$B$5:$B$104,$N52))</f>
        <v/>
      </c>
      <c r="C52" s="39" t="str">
        <f>IF($N52=0,"",INDEX('Registru mijloace fixe'!$C$5:$C$104,$N52))</f>
        <v/>
      </c>
      <c r="D52" s="39" t="str">
        <f>IF($N52=0,"",INDEX('Registru mijloace fixe'!$D$5:$D$104,$N52))</f>
        <v/>
      </c>
      <c r="E52" s="38" t="str">
        <f t="shared" si="1"/>
        <v/>
      </c>
      <c r="F52" s="40" t="str">
        <f>IF($N52=0,"",INDEX('Registru mijloace fixe'!$K$5:$K$104,$N52))</f>
        <v/>
      </c>
      <c r="G52" s="41" t="str">
        <f>IF($N52=0,"",INDEX('Registru mijloace fixe'!$S$5:$S$104,$N52))</f>
        <v/>
      </c>
      <c r="H52" s="41" t="str">
        <f>IF($N52=0,"",INDEX('Registru mijloace fixe'!$T$5:$T$104,$N52))</f>
        <v/>
      </c>
      <c r="I52" s="41" t="str">
        <f>IF($N52=0,"",INDEX('Registru mijloace fixe'!$U$5:$U$104,$N52))</f>
        <v/>
      </c>
      <c r="N52" s="30">
        <f>IFERROR(_xlfn.AGGREGATE(15,6,(ROW('Registru mijloace fixe'!$S$5:$S$104)-4)/(ISNUMBER('Registru mijloace fixe'!$S$5:$S$104)*('Registru mijloace fixe'!$S$5:$S$104&gt;0.004)),47),0)</f>
        <v>0</v>
      </c>
    </row>
    <row r="53" spans="2:14" x14ac:dyDescent="0.2">
      <c r="B53" s="38" t="str">
        <f>IF($N53=0,"",INDEX('Registru mijloace fixe'!$B$5:$B$104,$N53))</f>
        <v/>
      </c>
      <c r="C53" s="39" t="str">
        <f>IF($N53=0,"",INDEX('Registru mijloace fixe'!$C$5:$C$104,$N53))</f>
        <v/>
      </c>
      <c r="D53" s="39" t="str">
        <f>IF($N53=0,"",INDEX('Registru mijloace fixe'!$D$5:$D$104,$N53))</f>
        <v/>
      </c>
      <c r="E53" s="38" t="str">
        <f t="shared" si="1"/>
        <v/>
      </c>
      <c r="F53" s="40" t="str">
        <f>IF($N53=0,"",INDEX('Registru mijloace fixe'!$K$5:$K$104,$N53))</f>
        <v/>
      </c>
      <c r="G53" s="41" t="str">
        <f>IF($N53=0,"",INDEX('Registru mijloace fixe'!$S$5:$S$104,$N53))</f>
        <v/>
      </c>
      <c r="H53" s="41" t="str">
        <f>IF($N53=0,"",INDEX('Registru mijloace fixe'!$T$5:$T$104,$N53))</f>
        <v/>
      </c>
      <c r="I53" s="41" t="str">
        <f>IF($N53=0,"",INDEX('Registru mijloace fixe'!$U$5:$U$104,$N53))</f>
        <v/>
      </c>
      <c r="N53" s="30">
        <f>IFERROR(_xlfn.AGGREGATE(15,6,(ROW('Registru mijloace fixe'!$S$5:$S$104)-4)/(ISNUMBER('Registru mijloace fixe'!$S$5:$S$104)*('Registru mijloace fixe'!$S$5:$S$104&gt;0.004)),48),0)</f>
        <v>0</v>
      </c>
    </row>
    <row r="54" spans="2:14" x14ac:dyDescent="0.2">
      <c r="B54" s="38" t="str">
        <f>IF($N54=0,"",INDEX('Registru mijloace fixe'!$B$5:$B$104,$N54))</f>
        <v/>
      </c>
      <c r="C54" s="39" t="str">
        <f>IF($N54=0,"",INDEX('Registru mijloace fixe'!$C$5:$C$104,$N54))</f>
        <v/>
      </c>
      <c r="D54" s="39" t="str">
        <f>IF($N54=0,"",INDEX('Registru mijloace fixe'!$D$5:$D$104,$N54))</f>
        <v/>
      </c>
      <c r="E54" s="38" t="str">
        <f t="shared" si="1"/>
        <v/>
      </c>
      <c r="F54" s="40" t="str">
        <f>IF($N54=0,"",INDEX('Registru mijloace fixe'!$K$5:$K$104,$N54))</f>
        <v/>
      </c>
      <c r="G54" s="41" t="str">
        <f>IF($N54=0,"",INDEX('Registru mijloace fixe'!$S$5:$S$104,$N54))</f>
        <v/>
      </c>
      <c r="H54" s="41" t="str">
        <f>IF($N54=0,"",INDEX('Registru mijloace fixe'!$T$5:$T$104,$N54))</f>
        <v/>
      </c>
      <c r="I54" s="41" t="str">
        <f>IF($N54=0,"",INDEX('Registru mijloace fixe'!$U$5:$U$104,$N54))</f>
        <v/>
      </c>
      <c r="N54" s="30">
        <f>IFERROR(_xlfn.AGGREGATE(15,6,(ROW('Registru mijloace fixe'!$S$5:$S$104)-4)/(ISNUMBER('Registru mijloace fixe'!$S$5:$S$104)*('Registru mijloace fixe'!$S$5:$S$104&gt;0.004)),49),0)</f>
        <v>0</v>
      </c>
    </row>
    <row r="55" spans="2:14" x14ac:dyDescent="0.2">
      <c r="B55" s="38" t="str">
        <f>IF($N55=0,"",INDEX('Registru mijloace fixe'!$B$5:$B$104,$N55))</f>
        <v/>
      </c>
      <c r="C55" s="39" t="str">
        <f>IF($N55=0,"",INDEX('Registru mijloace fixe'!$C$5:$C$104,$N55))</f>
        <v/>
      </c>
      <c r="D55" s="39" t="str">
        <f>IF($N55=0,"",INDEX('Registru mijloace fixe'!$D$5:$D$104,$N55))</f>
        <v/>
      </c>
      <c r="E55" s="38" t="str">
        <f t="shared" si="1"/>
        <v/>
      </c>
      <c r="F55" s="40" t="str">
        <f>IF($N55=0,"",INDEX('Registru mijloace fixe'!$K$5:$K$104,$N55))</f>
        <v/>
      </c>
      <c r="G55" s="41" t="str">
        <f>IF($N55=0,"",INDEX('Registru mijloace fixe'!$S$5:$S$104,$N55))</f>
        <v/>
      </c>
      <c r="H55" s="41" t="str">
        <f>IF($N55=0,"",INDEX('Registru mijloace fixe'!$T$5:$T$104,$N55))</f>
        <v/>
      </c>
      <c r="I55" s="41" t="str">
        <f>IF($N55=0,"",INDEX('Registru mijloace fixe'!$U$5:$U$104,$N55))</f>
        <v/>
      </c>
      <c r="N55" s="30">
        <f>IFERROR(_xlfn.AGGREGATE(15,6,(ROW('Registru mijloace fixe'!$S$5:$S$104)-4)/(ISNUMBER('Registru mijloace fixe'!$S$5:$S$104)*('Registru mijloace fixe'!$S$5:$S$104&gt;0.004)),50),0)</f>
        <v>0</v>
      </c>
    </row>
    <row r="56" spans="2:14" x14ac:dyDescent="0.2">
      <c r="B56" s="38" t="str">
        <f>IF($N56=0,"",INDEX('Registru mijloace fixe'!$B$5:$B$104,$N56))</f>
        <v/>
      </c>
      <c r="C56" s="39" t="str">
        <f>IF($N56=0,"",INDEX('Registru mijloace fixe'!$C$5:$C$104,$N56))</f>
        <v/>
      </c>
      <c r="D56" s="39" t="str">
        <f>IF($N56=0,"",INDEX('Registru mijloace fixe'!$D$5:$D$104,$N56))</f>
        <v/>
      </c>
      <c r="E56" s="38" t="str">
        <f t="shared" si="1"/>
        <v/>
      </c>
      <c r="F56" s="40" t="str">
        <f>IF($N56=0,"",INDEX('Registru mijloace fixe'!$K$5:$K$104,$N56))</f>
        <v/>
      </c>
      <c r="G56" s="41" t="str">
        <f>IF($N56=0,"",INDEX('Registru mijloace fixe'!$S$5:$S$104,$N56))</f>
        <v/>
      </c>
      <c r="H56" s="41" t="str">
        <f>IF($N56=0,"",INDEX('Registru mijloace fixe'!$T$5:$T$104,$N56))</f>
        <v/>
      </c>
      <c r="I56" s="41" t="str">
        <f>IF($N56=0,"",INDEX('Registru mijloace fixe'!$U$5:$U$104,$N56))</f>
        <v/>
      </c>
      <c r="N56" s="30">
        <f>IFERROR(_xlfn.AGGREGATE(15,6,(ROW('Registru mijloace fixe'!$S$5:$S$104)-4)/(ISNUMBER('Registru mijloace fixe'!$S$5:$S$104)*('Registru mijloace fixe'!$S$5:$S$104&gt;0.004)),51),0)</f>
        <v>0</v>
      </c>
    </row>
    <row r="57" spans="2:14" x14ac:dyDescent="0.2">
      <c r="B57" s="38" t="str">
        <f>IF($N57=0,"",INDEX('Registru mijloace fixe'!$B$5:$B$104,$N57))</f>
        <v/>
      </c>
      <c r="C57" s="39" t="str">
        <f>IF($N57=0,"",INDEX('Registru mijloace fixe'!$C$5:$C$104,$N57))</f>
        <v/>
      </c>
      <c r="D57" s="39" t="str">
        <f>IF($N57=0,"",INDEX('Registru mijloace fixe'!$D$5:$D$104,$N57))</f>
        <v/>
      </c>
      <c r="E57" s="38" t="str">
        <f t="shared" si="1"/>
        <v/>
      </c>
      <c r="F57" s="40" t="str">
        <f>IF($N57=0,"",INDEX('Registru mijloace fixe'!$K$5:$K$104,$N57))</f>
        <v/>
      </c>
      <c r="G57" s="41" t="str">
        <f>IF($N57=0,"",INDEX('Registru mijloace fixe'!$S$5:$S$104,$N57))</f>
        <v/>
      </c>
      <c r="H57" s="41" t="str">
        <f>IF($N57=0,"",INDEX('Registru mijloace fixe'!$T$5:$T$104,$N57))</f>
        <v/>
      </c>
      <c r="I57" s="41" t="str">
        <f>IF($N57=0,"",INDEX('Registru mijloace fixe'!$U$5:$U$104,$N57))</f>
        <v/>
      </c>
      <c r="N57" s="30">
        <f>IFERROR(_xlfn.AGGREGATE(15,6,(ROW('Registru mijloace fixe'!$S$5:$S$104)-4)/(ISNUMBER('Registru mijloace fixe'!$S$5:$S$104)*('Registru mijloace fixe'!$S$5:$S$104&gt;0.004)),52),0)</f>
        <v>0</v>
      </c>
    </row>
    <row r="58" spans="2:14" x14ac:dyDescent="0.2">
      <c r="B58" s="38" t="str">
        <f>IF($N58=0,"",INDEX('Registru mijloace fixe'!$B$5:$B$104,$N58))</f>
        <v/>
      </c>
      <c r="C58" s="39" t="str">
        <f>IF($N58=0,"",INDEX('Registru mijloace fixe'!$C$5:$C$104,$N58))</f>
        <v/>
      </c>
      <c r="D58" s="39" t="str">
        <f>IF($N58=0,"",INDEX('Registru mijloace fixe'!$D$5:$D$104,$N58))</f>
        <v/>
      </c>
      <c r="E58" s="38" t="str">
        <f t="shared" si="1"/>
        <v/>
      </c>
      <c r="F58" s="40" t="str">
        <f>IF($N58=0,"",INDEX('Registru mijloace fixe'!$K$5:$K$104,$N58))</f>
        <v/>
      </c>
      <c r="G58" s="41" t="str">
        <f>IF($N58=0,"",INDEX('Registru mijloace fixe'!$S$5:$S$104,$N58))</f>
        <v/>
      </c>
      <c r="H58" s="41" t="str">
        <f>IF($N58=0,"",INDEX('Registru mijloace fixe'!$T$5:$T$104,$N58))</f>
        <v/>
      </c>
      <c r="I58" s="41" t="str">
        <f>IF($N58=0,"",INDEX('Registru mijloace fixe'!$U$5:$U$104,$N58))</f>
        <v/>
      </c>
      <c r="N58" s="30">
        <f>IFERROR(_xlfn.AGGREGATE(15,6,(ROW('Registru mijloace fixe'!$S$5:$S$104)-4)/(ISNUMBER('Registru mijloace fixe'!$S$5:$S$104)*('Registru mijloace fixe'!$S$5:$S$104&gt;0.004)),53),0)</f>
        <v>0</v>
      </c>
    </row>
    <row r="59" spans="2:14" x14ac:dyDescent="0.2">
      <c r="B59" s="38" t="str">
        <f>IF($N59=0,"",INDEX('Registru mijloace fixe'!$B$5:$B$104,$N59))</f>
        <v/>
      </c>
      <c r="C59" s="39" t="str">
        <f>IF($N59=0,"",INDEX('Registru mijloace fixe'!$C$5:$C$104,$N59))</f>
        <v/>
      </c>
      <c r="D59" s="39" t="str">
        <f>IF($N59=0,"",INDEX('Registru mijloace fixe'!$D$5:$D$104,$N59))</f>
        <v/>
      </c>
      <c r="E59" s="38" t="str">
        <f t="shared" si="1"/>
        <v/>
      </c>
      <c r="F59" s="40" t="str">
        <f>IF($N59=0,"",INDEX('Registru mijloace fixe'!$K$5:$K$104,$N59))</f>
        <v/>
      </c>
      <c r="G59" s="41" t="str">
        <f>IF($N59=0,"",INDEX('Registru mijloace fixe'!$S$5:$S$104,$N59))</f>
        <v/>
      </c>
      <c r="H59" s="41" t="str">
        <f>IF($N59=0,"",INDEX('Registru mijloace fixe'!$T$5:$T$104,$N59))</f>
        <v/>
      </c>
      <c r="I59" s="41" t="str">
        <f>IF($N59=0,"",INDEX('Registru mijloace fixe'!$U$5:$U$104,$N59))</f>
        <v/>
      </c>
      <c r="N59" s="30">
        <f>IFERROR(_xlfn.AGGREGATE(15,6,(ROW('Registru mijloace fixe'!$S$5:$S$104)-4)/(ISNUMBER('Registru mijloace fixe'!$S$5:$S$104)*('Registru mijloace fixe'!$S$5:$S$104&gt;0.004)),54),0)</f>
        <v>0</v>
      </c>
    </row>
    <row r="60" spans="2:14" x14ac:dyDescent="0.2">
      <c r="B60" s="38" t="str">
        <f>IF($N60=0,"",INDEX('Registru mijloace fixe'!$B$5:$B$104,$N60))</f>
        <v/>
      </c>
      <c r="C60" s="39" t="str">
        <f>IF($N60=0,"",INDEX('Registru mijloace fixe'!$C$5:$C$104,$N60))</f>
        <v/>
      </c>
      <c r="D60" s="39" t="str">
        <f>IF($N60=0,"",INDEX('Registru mijloace fixe'!$D$5:$D$104,$N60))</f>
        <v/>
      </c>
      <c r="E60" s="38" t="str">
        <f t="shared" si="1"/>
        <v/>
      </c>
      <c r="F60" s="40" t="str">
        <f>IF($N60=0,"",INDEX('Registru mijloace fixe'!$K$5:$K$104,$N60))</f>
        <v/>
      </c>
      <c r="G60" s="41" t="str">
        <f>IF($N60=0,"",INDEX('Registru mijloace fixe'!$S$5:$S$104,$N60))</f>
        <v/>
      </c>
      <c r="H60" s="41" t="str">
        <f>IF($N60=0,"",INDEX('Registru mijloace fixe'!$T$5:$T$104,$N60))</f>
        <v/>
      </c>
      <c r="I60" s="41" t="str">
        <f>IF($N60=0,"",INDEX('Registru mijloace fixe'!$U$5:$U$104,$N60))</f>
        <v/>
      </c>
      <c r="N60" s="30">
        <f>IFERROR(_xlfn.AGGREGATE(15,6,(ROW('Registru mijloace fixe'!$S$5:$S$104)-4)/(ISNUMBER('Registru mijloace fixe'!$S$5:$S$104)*('Registru mijloace fixe'!$S$5:$S$104&gt;0.004)),55),0)</f>
        <v>0</v>
      </c>
    </row>
    <row r="61" spans="2:14" x14ac:dyDescent="0.2">
      <c r="B61" s="38" t="str">
        <f>IF($N61=0,"",INDEX('Registru mijloace fixe'!$B$5:$B$104,$N61))</f>
        <v/>
      </c>
      <c r="C61" s="39" t="str">
        <f>IF($N61=0,"",INDEX('Registru mijloace fixe'!$C$5:$C$104,$N61))</f>
        <v/>
      </c>
      <c r="D61" s="39" t="str">
        <f>IF($N61=0,"",INDEX('Registru mijloace fixe'!$D$5:$D$104,$N61))</f>
        <v/>
      </c>
      <c r="E61" s="38" t="str">
        <f t="shared" si="1"/>
        <v/>
      </c>
      <c r="F61" s="40" t="str">
        <f>IF($N61=0,"",INDEX('Registru mijloace fixe'!$K$5:$K$104,$N61))</f>
        <v/>
      </c>
      <c r="G61" s="41" t="str">
        <f>IF($N61=0,"",INDEX('Registru mijloace fixe'!$S$5:$S$104,$N61))</f>
        <v/>
      </c>
      <c r="H61" s="41" t="str">
        <f>IF($N61=0,"",INDEX('Registru mijloace fixe'!$T$5:$T$104,$N61))</f>
        <v/>
      </c>
      <c r="I61" s="41" t="str">
        <f>IF($N61=0,"",INDEX('Registru mijloace fixe'!$U$5:$U$104,$N61))</f>
        <v/>
      </c>
      <c r="N61" s="30">
        <f>IFERROR(_xlfn.AGGREGATE(15,6,(ROW('Registru mijloace fixe'!$S$5:$S$104)-4)/(ISNUMBER('Registru mijloace fixe'!$S$5:$S$104)*('Registru mijloace fixe'!$S$5:$S$104&gt;0.004)),56),0)</f>
        <v>0</v>
      </c>
    </row>
    <row r="62" spans="2:14" x14ac:dyDescent="0.2">
      <c r="B62" s="38" t="str">
        <f>IF($N62=0,"",INDEX('Registru mijloace fixe'!$B$5:$B$104,$N62))</f>
        <v/>
      </c>
      <c r="C62" s="39" t="str">
        <f>IF($N62=0,"",INDEX('Registru mijloace fixe'!$C$5:$C$104,$N62))</f>
        <v/>
      </c>
      <c r="D62" s="39" t="str">
        <f>IF($N62=0,"",INDEX('Registru mijloace fixe'!$D$5:$D$104,$N62))</f>
        <v/>
      </c>
      <c r="E62" s="38" t="str">
        <f t="shared" si="1"/>
        <v/>
      </c>
      <c r="F62" s="40" t="str">
        <f>IF($N62=0,"",INDEX('Registru mijloace fixe'!$K$5:$K$104,$N62))</f>
        <v/>
      </c>
      <c r="G62" s="41" t="str">
        <f>IF($N62=0,"",INDEX('Registru mijloace fixe'!$S$5:$S$104,$N62))</f>
        <v/>
      </c>
      <c r="H62" s="41" t="str">
        <f>IF($N62=0,"",INDEX('Registru mijloace fixe'!$T$5:$T$104,$N62))</f>
        <v/>
      </c>
      <c r="I62" s="41" t="str">
        <f>IF($N62=0,"",INDEX('Registru mijloace fixe'!$U$5:$U$104,$N62))</f>
        <v/>
      </c>
      <c r="N62" s="30">
        <f>IFERROR(_xlfn.AGGREGATE(15,6,(ROW('Registru mijloace fixe'!$S$5:$S$104)-4)/(ISNUMBER('Registru mijloace fixe'!$S$5:$S$104)*('Registru mijloace fixe'!$S$5:$S$104&gt;0.004)),57),0)</f>
        <v>0</v>
      </c>
    </row>
    <row r="63" spans="2:14" x14ac:dyDescent="0.2">
      <c r="B63" s="38" t="str">
        <f>IF($N63=0,"",INDEX('Registru mijloace fixe'!$B$5:$B$104,$N63))</f>
        <v/>
      </c>
      <c r="C63" s="39" t="str">
        <f>IF($N63=0,"",INDEX('Registru mijloace fixe'!$C$5:$C$104,$N63))</f>
        <v/>
      </c>
      <c r="D63" s="39" t="str">
        <f>IF($N63=0,"",INDEX('Registru mijloace fixe'!$D$5:$D$104,$N63))</f>
        <v/>
      </c>
      <c r="E63" s="38" t="str">
        <f t="shared" si="1"/>
        <v/>
      </c>
      <c r="F63" s="40" t="str">
        <f>IF($N63=0,"",INDEX('Registru mijloace fixe'!$K$5:$K$104,$N63))</f>
        <v/>
      </c>
      <c r="G63" s="41" t="str">
        <f>IF($N63=0,"",INDEX('Registru mijloace fixe'!$S$5:$S$104,$N63))</f>
        <v/>
      </c>
      <c r="H63" s="41" t="str">
        <f>IF($N63=0,"",INDEX('Registru mijloace fixe'!$T$5:$T$104,$N63))</f>
        <v/>
      </c>
      <c r="I63" s="41" t="str">
        <f>IF($N63=0,"",INDEX('Registru mijloace fixe'!$U$5:$U$104,$N63))</f>
        <v/>
      </c>
      <c r="N63" s="30">
        <f>IFERROR(_xlfn.AGGREGATE(15,6,(ROW('Registru mijloace fixe'!$S$5:$S$104)-4)/(ISNUMBER('Registru mijloace fixe'!$S$5:$S$104)*('Registru mijloace fixe'!$S$5:$S$104&gt;0.004)),58),0)</f>
        <v>0</v>
      </c>
    </row>
    <row r="64" spans="2:14" x14ac:dyDescent="0.2">
      <c r="B64" s="38" t="str">
        <f>IF($N64=0,"",INDEX('Registru mijloace fixe'!$B$5:$B$104,$N64))</f>
        <v/>
      </c>
      <c r="C64" s="39" t="str">
        <f>IF($N64=0,"",INDEX('Registru mijloace fixe'!$C$5:$C$104,$N64))</f>
        <v/>
      </c>
      <c r="D64" s="39" t="str">
        <f>IF($N64=0,"",INDEX('Registru mijloace fixe'!$D$5:$D$104,$N64))</f>
        <v/>
      </c>
      <c r="E64" s="38" t="str">
        <f t="shared" si="1"/>
        <v/>
      </c>
      <c r="F64" s="40" t="str">
        <f>IF($N64=0,"",INDEX('Registru mijloace fixe'!$K$5:$K$104,$N64))</f>
        <v/>
      </c>
      <c r="G64" s="41" t="str">
        <f>IF($N64=0,"",INDEX('Registru mijloace fixe'!$S$5:$S$104,$N64))</f>
        <v/>
      </c>
      <c r="H64" s="41" t="str">
        <f>IF($N64=0,"",INDEX('Registru mijloace fixe'!$T$5:$T$104,$N64))</f>
        <v/>
      </c>
      <c r="I64" s="41" t="str">
        <f>IF($N64=0,"",INDEX('Registru mijloace fixe'!$U$5:$U$104,$N64))</f>
        <v/>
      </c>
      <c r="N64" s="30">
        <f>IFERROR(_xlfn.AGGREGATE(15,6,(ROW('Registru mijloace fixe'!$S$5:$S$104)-4)/(ISNUMBER('Registru mijloace fixe'!$S$5:$S$104)*('Registru mijloace fixe'!$S$5:$S$104&gt;0.004)),59),0)</f>
        <v>0</v>
      </c>
    </row>
    <row r="65" spans="2:14" x14ac:dyDescent="0.2">
      <c r="B65" s="38" t="str">
        <f>IF($N65=0,"",INDEX('Registru mijloace fixe'!$B$5:$B$104,$N65))</f>
        <v/>
      </c>
      <c r="C65" s="39" t="str">
        <f>IF($N65=0,"",INDEX('Registru mijloace fixe'!$C$5:$C$104,$N65))</f>
        <v/>
      </c>
      <c r="D65" s="39" t="str">
        <f>IF($N65=0,"",INDEX('Registru mijloace fixe'!$D$5:$D$104,$N65))</f>
        <v/>
      </c>
      <c r="E65" s="38" t="str">
        <f t="shared" si="1"/>
        <v/>
      </c>
      <c r="F65" s="40" t="str">
        <f>IF($N65=0,"",INDEX('Registru mijloace fixe'!$K$5:$K$104,$N65))</f>
        <v/>
      </c>
      <c r="G65" s="41" t="str">
        <f>IF($N65=0,"",INDEX('Registru mijloace fixe'!$S$5:$S$104,$N65))</f>
        <v/>
      </c>
      <c r="H65" s="41" t="str">
        <f>IF($N65=0,"",INDEX('Registru mijloace fixe'!$T$5:$T$104,$N65))</f>
        <v/>
      </c>
      <c r="I65" s="41" t="str">
        <f>IF($N65=0,"",INDEX('Registru mijloace fixe'!$U$5:$U$104,$N65))</f>
        <v/>
      </c>
      <c r="N65" s="30">
        <f>IFERROR(_xlfn.AGGREGATE(15,6,(ROW('Registru mijloace fixe'!$S$5:$S$104)-4)/(ISNUMBER('Registru mijloace fixe'!$S$5:$S$104)*('Registru mijloace fixe'!$S$5:$S$104&gt;0.004)),60),0)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56729-B70E-494C-A219-9F3F213415B4}">
  <sheetPr>
    <pageSetUpPr fitToPage="1"/>
  </sheetPr>
  <dimension ref="B1:N65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6.7109375" style="1" customWidth="1"/>
    <col min="3" max="3" width="10.7109375" style="1" customWidth="1"/>
    <col min="4" max="4" width="28.7109375" style="1" customWidth="1"/>
    <col min="5" max="5" width="20.7109375" style="1" customWidth="1"/>
    <col min="6" max="6" width="16.7109375" style="1" customWidth="1"/>
    <col min="7" max="8" width="13.7109375" style="1" customWidth="1"/>
    <col min="9" max="9" width="7.7109375" style="1" customWidth="1"/>
    <col min="10" max="10" width="11.7109375" style="1" customWidth="1"/>
    <col min="11" max="11" width="30.7109375" style="1" customWidth="1"/>
    <col min="12" max="16384" width="11.42578125" style="1"/>
  </cols>
  <sheetData>
    <row r="1" spans="2:14" ht="21" x14ac:dyDescent="0.35">
      <c r="B1" s="2" t="s">
        <v>209</v>
      </c>
    </row>
    <row r="2" spans="2:14" x14ac:dyDescent="0.2">
      <c r="B2" s="3" t="s">
        <v>210</v>
      </c>
    </row>
    <row r="3" spans="2:14" x14ac:dyDescent="0.2">
      <c r="B3" s="4" t="str">
        <f>"Data inventarului: "&amp;RIGHT("0"&amp;DAY(DataInv),2)&amp;"."&amp;RIGHT("0"&amp;MONTH(DataInv),2)&amp;"."&amp;YEAR(DataInv)&amp;"   ·   "&amp;Firma</f>
        <v>Data inventarului: 31.10.2026   ·   Exemplu Instalații SRL</v>
      </c>
    </row>
    <row r="5" spans="2:14" ht="30" customHeight="1" x14ac:dyDescent="0.2">
      <c r="B5" s="12" t="s">
        <v>211</v>
      </c>
      <c r="C5" s="12" t="s">
        <v>42</v>
      </c>
      <c r="D5" s="12" t="s">
        <v>202</v>
      </c>
      <c r="E5" s="12" t="s">
        <v>51</v>
      </c>
      <c r="F5" s="12" t="s">
        <v>52</v>
      </c>
      <c r="G5" s="12" t="s">
        <v>48</v>
      </c>
      <c r="H5" s="12" t="s">
        <v>58</v>
      </c>
      <c r="I5" s="12" t="s">
        <v>212</v>
      </c>
      <c r="J5" s="12" t="s">
        <v>213</v>
      </c>
      <c r="K5" s="12" t="s">
        <v>196</v>
      </c>
    </row>
    <row r="6" spans="2:14" ht="25.5" x14ac:dyDescent="0.2">
      <c r="B6" s="38">
        <f>IF($N6=0,"",1)</f>
        <v>1</v>
      </c>
      <c r="C6" s="38" t="str">
        <f>IF($N6=0,"",IF(INDEX('Registru mijloace fixe'!$B$5:$B$104,$N6)="","",INDEX('Registru mijloace fixe'!$B$5:$B$104,$N6)))</f>
        <v>MF-001</v>
      </c>
      <c r="D6" s="39" t="str">
        <f>IF($N6=0,"",IF(INDEX('Registru mijloace fixe'!$C$5:$C$104,$N6)="","",INDEX('Registru mijloace fixe'!$C$5:$C$104,$N6)))</f>
        <v>Hală depozit Ploiești</v>
      </c>
      <c r="E6" s="39" t="str">
        <f>IF($N6=0,"",IF(INDEX('Registru mijloace fixe'!$L$5:$L$104,$N6)="","",INDEX('Registru mijloace fixe'!$L$5:$L$104,$N6)))</f>
        <v>Ploiești, Str. Depozitelor 4</v>
      </c>
      <c r="F6" s="39" t="str">
        <f>IF($N6=0,"",IF(INDEX('Registru mijloace fixe'!$M$5:$M$104,$N6)="","",INDEX('Registru mijloace fixe'!$M$5:$M$104,$N6)))</f>
        <v>Mihai Georgescu</v>
      </c>
      <c r="G6" s="41">
        <f>IF($N6=0,"",IF(INDEX('Registru mijloace fixe'!$I$5:$I$104,$N6)="","",INDEX('Registru mijloace fixe'!$I$5:$I$104,$N6)))</f>
        <v>450000</v>
      </c>
      <c r="H6" s="41">
        <f>IF($N6=0,"",IF(INDEX('Registru mijloace fixe'!$U$5:$U$104,$N6)="","",INDEX('Registru mijloace fixe'!$U$5:$U$104,$N6)))</f>
        <v>364687.5</v>
      </c>
      <c r="I6" s="38" t="str">
        <f>IF($N6=0,"",IF(INDEX('Registru mijloace fixe'!$P$5:$P$104,$N6)="","",INDEX('Registru mijloace fixe'!$P$5:$P$104,$N6)))</f>
        <v>Da</v>
      </c>
      <c r="J6" s="38" t="str">
        <f>IF($N6=0,"",IF(INDEX('Registru mijloace fixe'!$Q$5:$Q$104,$N6)="","",INDEX('Registru mijloace fixe'!$Q$5:$Q$104,$N6)))</f>
        <v>Bună</v>
      </c>
      <c r="K6" s="26" t="str">
        <f t="shared" ref="K6:K37" si="0">IF($N6=0,"",IF(I6="Nu","Lipsă: proces-verbal și stabilirea cauzei",IF(I6="","Necompletat",IF(J6="Neutilizată","Propune casarea sau vânzarea",IF(J6="Defectă","Reparație sau casare","")))))</f>
        <v/>
      </c>
      <c r="N6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fixe'!$N$5:$N$104&gt;DataInv)&gt;0)),1),0)</f>
        <v>1</v>
      </c>
    </row>
    <row r="7" spans="2:14" x14ac:dyDescent="0.2">
      <c r="B7" s="38">
        <f>IF($N7=0,"",2)</f>
        <v>2</v>
      </c>
      <c r="C7" s="38" t="str">
        <f>IF($N7=0,"",IF(INDEX('Registru mijloace fixe'!$B$5:$B$104,$N7)="","",INDEX('Registru mijloace fixe'!$B$5:$B$104,$N7)))</f>
        <v>MF-002</v>
      </c>
      <c r="D7" s="39" t="str">
        <f>IF($N7=0,"",IF(INDEX('Registru mijloace fixe'!$C$5:$C$104,$N7)="","",INDEX('Registru mijloace fixe'!$C$5:$C$104,$N7)))</f>
        <v>Strung CNC</v>
      </c>
      <c r="E7" s="39" t="str">
        <f>IF($N7=0,"",IF(INDEX('Registru mijloace fixe'!$L$5:$L$104,$N7)="","",INDEX('Registru mijloace fixe'!$L$5:$L$104,$N7)))</f>
        <v>Atelier</v>
      </c>
      <c r="F7" s="39" t="str">
        <f>IF($N7=0,"",IF(INDEX('Registru mijloace fixe'!$M$5:$M$104,$N7)="","",INDEX('Registru mijloace fixe'!$M$5:$M$104,$N7)))</f>
        <v>Sorin Neagu</v>
      </c>
      <c r="G7" s="41">
        <f>IF($N7=0,"",IF(INDEX('Registru mijloace fixe'!$I$5:$I$104,$N7)="","",INDEX('Registru mijloace fixe'!$I$5:$I$104,$N7)))</f>
        <v>185000</v>
      </c>
      <c r="H7" s="41">
        <f>IF($N7=0,"",IF(INDEX('Registru mijloace fixe'!$U$5:$U$104,$N7)="","",INDEX('Registru mijloace fixe'!$U$5:$U$104,$N7)))</f>
        <v>93222.65625</v>
      </c>
      <c r="I7" s="38" t="str">
        <f>IF($N7=0,"",IF(INDEX('Registru mijloace fixe'!$P$5:$P$104,$N7)="","",INDEX('Registru mijloace fixe'!$P$5:$P$104,$N7)))</f>
        <v>Da</v>
      </c>
      <c r="J7" s="38" t="str">
        <f>IF($N7=0,"",IF(INDEX('Registru mijloace fixe'!$Q$5:$Q$104,$N7)="","",INDEX('Registru mijloace fixe'!$Q$5:$Q$104,$N7)))</f>
        <v>Bună</v>
      </c>
      <c r="K7" s="26" t="str">
        <f t="shared" si="0"/>
        <v/>
      </c>
      <c r="N7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fixe'!$N$5:$N$104&gt;DataInv)&gt;0)),2),0)</f>
        <v>2</v>
      </c>
    </row>
    <row r="8" spans="2:14" ht="25.5" x14ac:dyDescent="0.2">
      <c r="B8" s="38">
        <f>IF($N8=0,"",3)</f>
        <v>3</v>
      </c>
      <c r="C8" s="38" t="str">
        <f>IF($N8=0,"",IF(INDEX('Registru mijloace fixe'!$B$5:$B$104,$N8)="","",INDEX('Registru mijloace fixe'!$B$5:$B$104,$N8)))</f>
        <v>MF-003</v>
      </c>
      <c r="D8" s="39" t="str">
        <f>IF($N8=0,"",IF(INDEX('Registru mijloace fixe'!$C$5:$C$104,$N8)="","",INDEX('Registru mijloace fixe'!$C$5:$C$104,$N8)))</f>
        <v>Autoutilitară Ford Transit PH-34-EXI</v>
      </c>
      <c r="E8" s="39" t="str">
        <f>IF($N8=0,"",IF(INDEX('Registru mijloace fixe'!$L$5:$L$104,$N8)="","",INDEX('Registru mijloace fixe'!$L$5:$L$104,$N8)))</f>
        <v>Parc auto</v>
      </c>
      <c r="F8" s="39" t="str">
        <f>IF($N8=0,"",IF(INDEX('Registru mijloace fixe'!$M$5:$M$104,$N8)="","",INDEX('Registru mijloace fixe'!$M$5:$M$104,$N8)))</f>
        <v>Ionescu Mihai</v>
      </c>
      <c r="G8" s="41">
        <f>IF($N8=0,"",IF(INDEX('Registru mijloace fixe'!$I$5:$I$104,$N8)="","",INDEX('Registru mijloace fixe'!$I$5:$I$104,$N8)))</f>
        <v>128000</v>
      </c>
      <c r="H8" s="41">
        <f>IF($N8=0,"",IF(INDEX('Registru mijloace fixe'!$U$5:$U$104,$N8)="","",INDEX('Registru mijloace fixe'!$U$5:$U$104,$N8)))</f>
        <v>49066.666666666672</v>
      </c>
      <c r="I8" s="38" t="str">
        <f>IF($N8=0,"",IF(INDEX('Registru mijloace fixe'!$P$5:$P$104,$N8)="","",INDEX('Registru mijloace fixe'!$P$5:$P$104,$N8)))</f>
        <v>Da</v>
      </c>
      <c r="J8" s="38" t="str">
        <f>IF($N8=0,"",IF(INDEX('Registru mijloace fixe'!$Q$5:$Q$104,$N8)="","",INDEX('Registru mijloace fixe'!$Q$5:$Q$104,$N8)))</f>
        <v>Bună</v>
      </c>
      <c r="K8" s="26" t="str">
        <f t="shared" si="0"/>
        <v/>
      </c>
      <c r="N8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fixe'!$N$5:$N$104&gt;DataInv)&gt;0)),3),0)</f>
        <v>3</v>
      </c>
    </row>
    <row r="9" spans="2:14" x14ac:dyDescent="0.2">
      <c r="B9" s="38">
        <f>IF($N9=0,"",4)</f>
        <v>4</v>
      </c>
      <c r="C9" s="38" t="str">
        <f>IF($N9=0,"",IF(INDEX('Registru mijloace fixe'!$B$5:$B$104,$N9)="","",INDEX('Registru mijloace fixe'!$B$5:$B$104,$N9)))</f>
        <v>MF-004</v>
      </c>
      <c r="D9" s="39" t="str">
        <f>IF($N9=0,"",IF(INDEX('Registru mijloace fixe'!$C$5:$C$104,$N9)="","",INDEX('Registru mijloace fixe'!$C$5:$C$104,$N9)))</f>
        <v>Server și echipamente de rețea</v>
      </c>
      <c r="E9" s="39" t="str">
        <f>IF($N9=0,"",IF(INDEX('Registru mijloace fixe'!$L$5:$L$104,$N9)="","",INDEX('Registru mijloace fixe'!$L$5:$L$104,$N9)))</f>
        <v>Birou</v>
      </c>
      <c r="F9" s="39" t="str">
        <f>IF($N9=0,"",IF(INDEX('Registru mijloace fixe'!$M$5:$M$104,$N9)="","",INDEX('Registru mijloace fixe'!$M$5:$M$104,$N9)))</f>
        <v>Ana Popescu</v>
      </c>
      <c r="G9" s="41">
        <f>IF($N9=0,"",IF(INDEX('Registru mijloace fixe'!$I$5:$I$104,$N9)="","",INDEX('Registru mijloace fixe'!$I$5:$I$104,$N9)))</f>
        <v>32500</v>
      </c>
      <c r="H9" s="41">
        <f>IF($N9=0,"",IF(INDEX('Registru mijloace fixe'!$U$5:$U$104,$N9)="","",INDEX('Registru mijloace fixe'!$U$5:$U$104,$N9)))</f>
        <v>12638.888888888891</v>
      </c>
      <c r="I9" s="38" t="str">
        <f>IF($N9=0,"",IF(INDEX('Registru mijloace fixe'!$P$5:$P$104,$N9)="","",INDEX('Registru mijloace fixe'!$P$5:$P$104,$N9)))</f>
        <v>Da</v>
      </c>
      <c r="J9" s="38" t="str">
        <f>IF($N9=0,"",IF(INDEX('Registru mijloace fixe'!$Q$5:$Q$104,$N9)="","",INDEX('Registru mijloace fixe'!$Q$5:$Q$104,$N9)))</f>
        <v>Bună</v>
      </c>
      <c r="K9" s="26" t="str">
        <f t="shared" si="0"/>
        <v/>
      </c>
      <c r="N9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fixe'!$N$5:$N$104&gt;DataInv)&gt;0)),4),0)</f>
        <v>4</v>
      </c>
    </row>
    <row r="10" spans="2:14" x14ac:dyDescent="0.2">
      <c r="B10" s="38">
        <f>IF($N10=0,"",5)</f>
        <v>5</v>
      </c>
      <c r="C10" s="38" t="str">
        <f>IF($N10=0,"",IF(INDEX('Registru mijloace fixe'!$B$5:$B$104,$N10)="","",INDEX('Registru mijloace fixe'!$B$5:$B$104,$N10)))</f>
        <v>MF-005</v>
      </c>
      <c r="D10" s="39" t="str">
        <f>IF($N10=0,"",IF(INDEX('Registru mijloace fixe'!$C$5:$C$104,$N10)="","",INDEX('Registru mijloace fixe'!$C$5:$C$104,$N10)))</f>
        <v>Compresor industrial</v>
      </c>
      <c r="E10" s="39" t="str">
        <f>IF($N10=0,"",IF(INDEX('Registru mijloace fixe'!$L$5:$L$104,$N10)="","",INDEX('Registru mijloace fixe'!$L$5:$L$104,$N10)))</f>
        <v>Atelier</v>
      </c>
      <c r="F10" s="39" t="str">
        <f>IF($N10=0,"",IF(INDEX('Registru mijloace fixe'!$M$5:$M$104,$N10)="","",INDEX('Registru mijloace fixe'!$M$5:$M$104,$N10)))</f>
        <v>Sorin Neagu</v>
      </c>
      <c r="G10" s="41">
        <f>IF($N10=0,"",IF(INDEX('Registru mijloace fixe'!$I$5:$I$104,$N10)="","",INDEX('Registru mijloace fixe'!$I$5:$I$104,$N10)))</f>
        <v>46800</v>
      </c>
      <c r="H10" s="41">
        <f>IF($N10=0,"",IF(INDEX('Registru mijloace fixe'!$U$5:$U$104,$N10)="","",INDEX('Registru mijloace fixe'!$U$5:$U$104,$N10)))</f>
        <v>31590</v>
      </c>
      <c r="I10" s="38" t="str">
        <f>IF($N10=0,"",IF(INDEX('Registru mijloace fixe'!$P$5:$P$104,$N10)="","",INDEX('Registru mijloace fixe'!$P$5:$P$104,$N10)))</f>
        <v>Da</v>
      </c>
      <c r="J10" s="38" t="str">
        <f>IF($N10=0,"",IF(INDEX('Registru mijloace fixe'!$Q$5:$Q$104,$N10)="","",INDEX('Registru mijloace fixe'!$Q$5:$Q$104,$N10)))</f>
        <v>Bună</v>
      </c>
      <c r="K10" s="26" t="str">
        <f t="shared" si="0"/>
        <v/>
      </c>
      <c r="N10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fixe'!$N$5:$N$104&gt;DataInv)&gt;0)),5),0)</f>
        <v>5</v>
      </c>
    </row>
    <row r="11" spans="2:14" x14ac:dyDescent="0.2">
      <c r="B11" s="38">
        <f>IF($N11=0,"",6)</f>
        <v>6</v>
      </c>
      <c r="C11" s="38" t="str">
        <f>IF($N11=0,"",IF(INDEX('Registru mijloace fixe'!$B$5:$B$104,$N11)="","",INDEX('Registru mijloace fixe'!$B$5:$B$104,$N11)))</f>
        <v>MF-006</v>
      </c>
      <c r="D11" s="39" t="str">
        <f>IF($N11=0,"",IF(INDEX('Registru mijloace fixe'!$C$5:$C$104,$N11)="","",INDEX('Registru mijloace fixe'!$C$5:$C$104,$N11)))</f>
        <v>Mobilier birou (set)</v>
      </c>
      <c r="E11" s="39" t="str">
        <f>IF($N11=0,"",IF(INDEX('Registru mijloace fixe'!$L$5:$L$104,$N11)="","",INDEX('Registru mijloace fixe'!$L$5:$L$104,$N11)))</f>
        <v>Birou</v>
      </c>
      <c r="F11" s="39" t="str">
        <f>IF($N11=0,"",IF(INDEX('Registru mijloace fixe'!$M$5:$M$104,$N11)="","",INDEX('Registru mijloace fixe'!$M$5:$M$104,$N11)))</f>
        <v>Ana Popescu</v>
      </c>
      <c r="G11" s="41">
        <f>IF($N11=0,"",IF(INDEX('Registru mijloace fixe'!$I$5:$I$104,$N11)="","",INDEX('Registru mijloace fixe'!$I$5:$I$104,$N11)))</f>
        <v>14200</v>
      </c>
      <c r="H11" s="41">
        <f>IF($N11=0,"",IF(INDEX('Registru mijloace fixe'!$U$5:$U$104,$N11)="","",INDEX('Registru mijloace fixe'!$U$5:$U$104,$N11)))</f>
        <v>5785.1851851851843</v>
      </c>
      <c r="I11" s="38" t="str">
        <f>IF($N11=0,"",IF(INDEX('Registru mijloace fixe'!$P$5:$P$104,$N11)="","",INDEX('Registru mijloace fixe'!$P$5:$P$104,$N11)))</f>
        <v>Da</v>
      </c>
      <c r="J11" s="38" t="str">
        <f>IF($N11=0,"",IF(INDEX('Registru mijloace fixe'!$Q$5:$Q$104,$N11)="","",INDEX('Registru mijloace fixe'!$Q$5:$Q$104,$N11)))</f>
        <v>Uzată</v>
      </c>
      <c r="K11" s="26" t="str">
        <f t="shared" si="0"/>
        <v/>
      </c>
      <c r="N11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fixe'!$N$5:$N$104&gt;DataInv)&gt;0)),6),0)</f>
        <v>6</v>
      </c>
    </row>
    <row r="12" spans="2:14" x14ac:dyDescent="0.2">
      <c r="B12" s="38">
        <f>IF($N12=0,"",7)</f>
        <v>7</v>
      </c>
      <c r="C12" s="38" t="str">
        <f>IF($N12=0,"",IF(INDEX('Registru mijloace fixe'!$B$5:$B$104,$N12)="","",INDEX('Registru mijloace fixe'!$B$5:$B$104,$N12)))</f>
        <v>MF-007</v>
      </c>
      <c r="D12" s="39" t="str">
        <f>IF($N12=0,"",IF(INDEX('Registru mijloace fixe'!$C$5:$C$104,$N12)="","",INDEX('Registru mijloace fixe'!$C$5:$C$104,$N12)))</f>
        <v>Laptop pentru proiectare</v>
      </c>
      <c r="E12" s="39" t="str">
        <f>IF($N12=0,"",IF(INDEX('Registru mijloace fixe'!$L$5:$L$104,$N12)="","",INDEX('Registru mijloace fixe'!$L$5:$L$104,$N12)))</f>
        <v>Birou</v>
      </c>
      <c r="F12" s="39" t="str">
        <f>IF($N12=0,"",IF(INDEX('Registru mijloace fixe'!$M$5:$M$104,$N12)="","",INDEX('Registru mijloace fixe'!$M$5:$M$104,$N12)))</f>
        <v>Dan Ilie</v>
      </c>
      <c r="G12" s="41">
        <f>IF($N12=0,"",IF(INDEX('Registru mijloace fixe'!$I$5:$I$104,$N12)="","",INDEX('Registru mijloace fixe'!$I$5:$I$104,$N12)))</f>
        <v>6400</v>
      </c>
      <c r="H12" s="41">
        <f>IF($N12=0,"",IF(INDEX('Registru mijloace fixe'!$U$5:$U$104,$N12)="","",INDEX('Registru mijloace fixe'!$U$5:$U$104,$N12)))</f>
        <v>0</v>
      </c>
      <c r="I12" s="38" t="str">
        <f>IF($N12=0,"",IF(INDEX('Registru mijloace fixe'!$P$5:$P$104,$N12)="","",INDEX('Registru mijloace fixe'!$P$5:$P$104,$N12)))</f>
        <v>Da</v>
      </c>
      <c r="J12" s="38" t="str">
        <f>IF($N12=0,"",IF(INDEX('Registru mijloace fixe'!$Q$5:$Q$104,$N12)="","",INDEX('Registru mijloace fixe'!$Q$5:$Q$104,$N12)))</f>
        <v>Neutilizată</v>
      </c>
      <c r="K12" s="26" t="str">
        <f t="shared" si="0"/>
        <v>Propune casarea sau vânzarea</v>
      </c>
      <c r="N12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fixe'!$N$5:$N$104&gt;DataInv)&gt;0)),7),0)</f>
        <v>7</v>
      </c>
    </row>
    <row r="13" spans="2:14" x14ac:dyDescent="0.2">
      <c r="B13" s="38">
        <f>IF($N13=0,"",8)</f>
        <v>8</v>
      </c>
      <c r="C13" s="38" t="str">
        <f>IF($N13=0,"",IF(INDEX('Registru mijloace fixe'!$B$5:$B$104,$N13)="","",INDEX('Registru mijloace fixe'!$B$5:$B$104,$N13)))</f>
        <v>MF-009</v>
      </c>
      <c r="D13" s="39" t="str">
        <f>IF($N13=0,"",IF(INDEX('Registru mijloace fixe'!$C$5:$C$104,$N13)="","",INDEX('Registru mijloace fixe'!$C$5:$C$104,$N13)))</f>
        <v>Aparat de aer condiționat</v>
      </c>
      <c r="E13" s="39" t="str">
        <f>IF($N13=0,"",IF(INDEX('Registru mijloace fixe'!$L$5:$L$104,$N13)="","",INDEX('Registru mijloace fixe'!$L$5:$L$104,$N13)))</f>
        <v>Birou</v>
      </c>
      <c r="F13" s="39" t="str">
        <f>IF($N13=0,"",IF(INDEX('Registru mijloace fixe'!$M$5:$M$104,$N13)="","",INDEX('Registru mijloace fixe'!$M$5:$M$104,$N13)))</f>
        <v>Ana Popescu</v>
      </c>
      <c r="G13" s="41">
        <f>IF($N13=0,"",IF(INDEX('Registru mijloace fixe'!$I$5:$I$104,$N13)="","",INDEX('Registru mijloace fixe'!$I$5:$I$104,$N13)))</f>
        <v>4200</v>
      </c>
      <c r="H13" s="41">
        <f>IF($N13=0,"",IF(INDEX('Registru mijloace fixe'!$U$5:$U$104,$N13)="","",INDEX('Registru mijloace fixe'!$U$5:$U$104,$N13)))</f>
        <v>3990</v>
      </c>
      <c r="I13" s="38" t="str">
        <f>IF($N13=0,"",IF(INDEX('Registru mijloace fixe'!$P$5:$P$104,$N13)="","",INDEX('Registru mijloace fixe'!$P$5:$P$104,$N13)))</f>
        <v>Da</v>
      </c>
      <c r="J13" s="38" t="str">
        <f>IF($N13=0,"",IF(INDEX('Registru mijloace fixe'!$Q$5:$Q$104,$N13)="","",INDEX('Registru mijloace fixe'!$Q$5:$Q$104,$N13)))</f>
        <v>Bună</v>
      </c>
      <c r="K13" s="26" t="str">
        <f t="shared" si="0"/>
        <v/>
      </c>
      <c r="N13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fixe'!$N$5:$N$104&gt;DataInv)&gt;0)),8),0)</f>
        <v>9</v>
      </c>
    </row>
    <row r="14" spans="2:14" ht="25.5" x14ac:dyDescent="0.2">
      <c r="B14" s="38">
        <f>IF($N14=0,"",9)</f>
        <v>9</v>
      </c>
      <c r="C14" s="38" t="str">
        <f>IF($N14=0,"",IF(INDEX('Registru mijloace fixe'!$B$5:$B$104,$N14)="","",INDEX('Registru mijloace fixe'!$B$5:$B$104,$N14)))</f>
        <v>MF-010</v>
      </c>
      <c r="D14" s="39" t="str">
        <f>IF($N14=0,"",IF(INDEX('Registru mijloace fixe'!$C$5:$C$104,$N14)="","",INDEX('Registru mijloace fixe'!$C$5:$C$104,$N14)))</f>
        <v>Generator electric 20 kVA</v>
      </c>
      <c r="E14" s="39" t="str">
        <f>IF($N14=0,"",IF(INDEX('Registru mijloace fixe'!$L$5:$L$104,$N14)="","",INDEX('Registru mijloace fixe'!$L$5:$L$104,$N14)))</f>
        <v>Atelier</v>
      </c>
      <c r="F14" s="39" t="str">
        <f>IF($N14=0,"",IF(INDEX('Registru mijloace fixe'!$M$5:$M$104,$N14)="","",INDEX('Registru mijloace fixe'!$M$5:$M$104,$N14)))</f>
        <v>Sorin Neagu</v>
      </c>
      <c r="G14" s="41">
        <f>IF($N14=0,"",IF(INDEX('Registru mijloace fixe'!$I$5:$I$104,$N14)="","",INDEX('Registru mijloace fixe'!$I$5:$I$104,$N14)))</f>
        <v>22000</v>
      </c>
      <c r="H14" s="41">
        <f>IF($N14=0,"",IF(INDEX('Registru mijloace fixe'!$U$5:$U$104,$N14)="","",INDEX('Registru mijloace fixe'!$U$5:$U$104,$N14)))</f>
        <v>3483.3333333333321</v>
      </c>
      <c r="I14" s="38" t="str">
        <f>IF($N14=0,"",IF(INDEX('Registru mijloace fixe'!$P$5:$P$104,$N14)="","",INDEX('Registru mijloace fixe'!$P$5:$P$104,$N14)))</f>
        <v>Nu</v>
      </c>
      <c r="J14" s="38" t="str">
        <f>IF($N14=0,"",IF(INDEX('Registru mijloace fixe'!$Q$5:$Q$104,$N14)="","",INDEX('Registru mijloace fixe'!$Q$5:$Q$104,$N14)))</f>
        <v/>
      </c>
      <c r="K14" s="26" t="str">
        <f t="shared" si="0"/>
        <v>Lipsă: proces-verbal și stabilirea cauzei</v>
      </c>
      <c r="N14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fixe'!$N$5:$N$104&gt;DataInv)&gt;0)),9),0)</f>
        <v>10</v>
      </c>
    </row>
    <row r="15" spans="2:14" x14ac:dyDescent="0.2">
      <c r="B15" s="38" t="str">
        <f>IF($N15=0,"",10)</f>
        <v/>
      </c>
      <c r="C15" s="38" t="str">
        <f>IF($N15=0,"",IF(INDEX('Registru mijloace fixe'!$B$5:$B$104,$N15)="","",INDEX('Registru mijloace fixe'!$B$5:$B$104,$N15)))</f>
        <v/>
      </c>
      <c r="D15" s="39" t="str">
        <f>IF($N15=0,"",IF(INDEX('Registru mijloace fixe'!$C$5:$C$104,$N15)="","",INDEX('Registru mijloace fixe'!$C$5:$C$104,$N15)))</f>
        <v/>
      </c>
      <c r="E15" s="39" t="str">
        <f>IF($N15=0,"",IF(INDEX('Registru mijloace fixe'!$L$5:$L$104,$N15)="","",INDEX('Registru mijloace fixe'!$L$5:$L$104,$N15)))</f>
        <v/>
      </c>
      <c r="F15" s="39" t="str">
        <f>IF($N15=0,"",IF(INDEX('Registru mijloace fixe'!$M$5:$M$104,$N15)="","",INDEX('Registru mijloace fixe'!$M$5:$M$104,$N15)))</f>
        <v/>
      </c>
      <c r="G15" s="41" t="str">
        <f>IF($N15=0,"",IF(INDEX('Registru mijloace fixe'!$I$5:$I$104,$N15)="","",INDEX('Registru mijloace fixe'!$I$5:$I$104,$N15)))</f>
        <v/>
      </c>
      <c r="H15" s="41" t="str">
        <f>IF($N15=0,"",IF(INDEX('Registru mijloace fixe'!$U$5:$U$104,$N15)="","",INDEX('Registru mijloace fixe'!$U$5:$U$104,$N15)))</f>
        <v/>
      </c>
      <c r="I15" s="38" t="str">
        <f>IF($N15=0,"",IF(INDEX('Registru mijloace fixe'!$P$5:$P$104,$N15)="","",INDEX('Registru mijloace fixe'!$P$5:$P$104,$N15)))</f>
        <v/>
      </c>
      <c r="J15" s="38" t="str">
        <f>IF($N15=0,"",IF(INDEX('Registru mijloace fixe'!$Q$5:$Q$104,$N15)="","",INDEX('Registru mijloace fixe'!$Q$5:$Q$104,$N15)))</f>
        <v/>
      </c>
      <c r="K15" s="26" t="str">
        <f t="shared" si="0"/>
        <v/>
      </c>
      <c r="N15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fixe'!$N$5:$N$104&gt;DataInv)&gt;0)),10),0)</f>
        <v>0</v>
      </c>
    </row>
    <row r="16" spans="2:14" x14ac:dyDescent="0.2">
      <c r="B16" s="38" t="str">
        <f>IF($N16=0,"",11)</f>
        <v/>
      </c>
      <c r="C16" s="38" t="str">
        <f>IF($N16=0,"",IF(INDEX('Registru mijloace fixe'!$B$5:$B$104,$N16)="","",INDEX('Registru mijloace fixe'!$B$5:$B$104,$N16)))</f>
        <v/>
      </c>
      <c r="D16" s="39" t="str">
        <f>IF($N16=0,"",IF(INDEX('Registru mijloace fixe'!$C$5:$C$104,$N16)="","",INDEX('Registru mijloace fixe'!$C$5:$C$104,$N16)))</f>
        <v/>
      </c>
      <c r="E16" s="39" t="str">
        <f>IF($N16=0,"",IF(INDEX('Registru mijloace fixe'!$L$5:$L$104,$N16)="","",INDEX('Registru mijloace fixe'!$L$5:$L$104,$N16)))</f>
        <v/>
      </c>
      <c r="F16" s="39" t="str">
        <f>IF($N16=0,"",IF(INDEX('Registru mijloace fixe'!$M$5:$M$104,$N16)="","",INDEX('Registru mijloace fixe'!$M$5:$M$104,$N16)))</f>
        <v/>
      </c>
      <c r="G16" s="41" t="str">
        <f>IF($N16=0,"",IF(INDEX('Registru mijloace fixe'!$I$5:$I$104,$N16)="","",INDEX('Registru mijloace fixe'!$I$5:$I$104,$N16)))</f>
        <v/>
      </c>
      <c r="H16" s="41" t="str">
        <f>IF($N16=0,"",IF(INDEX('Registru mijloace fixe'!$U$5:$U$104,$N16)="","",INDEX('Registru mijloace fixe'!$U$5:$U$104,$N16)))</f>
        <v/>
      </c>
      <c r="I16" s="38" t="str">
        <f>IF($N16=0,"",IF(INDEX('Registru mijloace fixe'!$P$5:$P$104,$N16)="","",INDEX('Registru mijloace fixe'!$P$5:$P$104,$N16)))</f>
        <v/>
      </c>
      <c r="J16" s="38" t="str">
        <f>IF($N16=0,"",IF(INDEX('Registru mijloace fixe'!$Q$5:$Q$104,$N16)="","",INDEX('Registru mijloace fixe'!$Q$5:$Q$104,$N16)))</f>
        <v/>
      </c>
      <c r="K16" s="26" t="str">
        <f t="shared" si="0"/>
        <v/>
      </c>
      <c r="N16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fixe'!$N$5:$N$104&gt;DataInv)&gt;0)),11),0)</f>
        <v>0</v>
      </c>
    </row>
    <row r="17" spans="2:14" x14ac:dyDescent="0.2">
      <c r="B17" s="38" t="str">
        <f>IF($N17=0,"",12)</f>
        <v/>
      </c>
      <c r="C17" s="38" t="str">
        <f>IF($N17=0,"",IF(INDEX('Registru mijloace fixe'!$B$5:$B$104,$N17)="","",INDEX('Registru mijloace fixe'!$B$5:$B$104,$N17)))</f>
        <v/>
      </c>
      <c r="D17" s="39" t="str">
        <f>IF($N17=0,"",IF(INDEX('Registru mijloace fixe'!$C$5:$C$104,$N17)="","",INDEX('Registru mijloace fixe'!$C$5:$C$104,$N17)))</f>
        <v/>
      </c>
      <c r="E17" s="39" t="str">
        <f>IF($N17=0,"",IF(INDEX('Registru mijloace fixe'!$L$5:$L$104,$N17)="","",INDEX('Registru mijloace fixe'!$L$5:$L$104,$N17)))</f>
        <v/>
      </c>
      <c r="F17" s="39" t="str">
        <f>IF($N17=0,"",IF(INDEX('Registru mijloace fixe'!$M$5:$M$104,$N17)="","",INDEX('Registru mijloace fixe'!$M$5:$M$104,$N17)))</f>
        <v/>
      </c>
      <c r="G17" s="41" t="str">
        <f>IF($N17=0,"",IF(INDEX('Registru mijloace fixe'!$I$5:$I$104,$N17)="","",INDEX('Registru mijloace fixe'!$I$5:$I$104,$N17)))</f>
        <v/>
      </c>
      <c r="H17" s="41" t="str">
        <f>IF($N17=0,"",IF(INDEX('Registru mijloace fixe'!$U$5:$U$104,$N17)="","",INDEX('Registru mijloace fixe'!$U$5:$U$104,$N17)))</f>
        <v/>
      </c>
      <c r="I17" s="38" t="str">
        <f>IF($N17=0,"",IF(INDEX('Registru mijloace fixe'!$P$5:$P$104,$N17)="","",INDEX('Registru mijloace fixe'!$P$5:$P$104,$N17)))</f>
        <v/>
      </c>
      <c r="J17" s="38" t="str">
        <f>IF($N17=0,"",IF(INDEX('Registru mijloace fixe'!$Q$5:$Q$104,$N17)="","",INDEX('Registru mijloace fixe'!$Q$5:$Q$104,$N17)))</f>
        <v/>
      </c>
      <c r="K17" s="26" t="str">
        <f t="shared" si="0"/>
        <v/>
      </c>
      <c r="N17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fixe'!$N$5:$N$104&gt;DataInv)&gt;0)),12),0)</f>
        <v>0</v>
      </c>
    </row>
    <row r="18" spans="2:14" x14ac:dyDescent="0.2">
      <c r="B18" s="38" t="str">
        <f>IF($N18=0,"",13)</f>
        <v/>
      </c>
      <c r="C18" s="38" t="str">
        <f>IF($N18=0,"",IF(INDEX('Registru mijloace fixe'!$B$5:$B$104,$N18)="","",INDEX('Registru mijloace fixe'!$B$5:$B$104,$N18)))</f>
        <v/>
      </c>
      <c r="D18" s="39" t="str">
        <f>IF($N18=0,"",IF(INDEX('Registru mijloace fixe'!$C$5:$C$104,$N18)="","",INDEX('Registru mijloace fixe'!$C$5:$C$104,$N18)))</f>
        <v/>
      </c>
      <c r="E18" s="39" t="str">
        <f>IF($N18=0,"",IF(INDEX('Registru mijloace fixe'!$L$5:$L$104,$N18)="","",INDEX('Registru mijloace fixe'!$L$5:$L$104,$N18)))</f>
        <v/>
      </c>
      <c r="F18" s="39" t="str">
        <f>IF($N18=0,"",IF(INDEX('Registru mijloace fixe'!$M$5:$M$104,$N18)="","",INDEX('Registru mijloace fixe'!$M$5:$M$104,$N18)))</f>
        <v/>
      </c>
      <c r="G18" s="41" t="str">
        <f>IF($N18=0,"",IF(INDEX('Registru mijloace fixe'!$I$5:$I$104,$N18)="","",INDEX('Registru mijloace fixe'!$I$5:$I$104,$N18)))</f>
        <v/>
      </c>
      <c r="H18" s="41" t="str">
        <f>IF($N18=0,"",IF(INDEX('Registru mijloace fixe'!$U$5:$U$104,$N18)="","",INDEX('Registru mijloace fixe'!$U$5:$U$104,$N18)))</f>
        <v/>
      </c>
      <c r="I18" s="38" t="str">
        <f>IF($N18=0,"",IF(INDEX('Registru mijloace fixe'!$P$5:$P$104,$N18)="","",INDEX('Registru mijloace fixe'!$P$5:$P$104,$N18)))</f>
        <v/>
      </c>
      <c r="J18" s="38" t="str">
        <f>IF($N18=0,"",IF(INDEX('Registru mijloace fixe'!$Q$5:$Q$104,$N18)="","",INDEX('Registru mijloace fixe'!$Q$5:$Q$104,$N18)))</f>
        <v/>
      </c>
      <c r="K18" s="26" t="str">
        <f t="shared" si="0"/>
        <v/>
      </c>
      <c r="N18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fixe'!$N$5:$N$104&gt;DataInv)&gt;0)),13),0)</f>
        <v>0</v>
      </c>
    </row>
    <row r="19" spans="2:14" x14ac:dyDescent="0.2">
      <c r="B19" s="38" t="str">
        <f>IF($N19=0,"",14)</f>
        <v/>
      </c>
      <c r="C19" s="38" t="str">
        <f>IF($N19=0,"",IF(INDEX('Registru mijloace fixe'!$B$5:$B$104,$N19)="","",INDEX('Registru mijloace fixe'!$B$5:$B$104,$N19)))</f>
        <v/>
      </c>
      <c r="D19" s="39" t="str">
        <f>IF($N19=0,"",IF(INDEX('Registru mijloace fixe'!$C$5:$C$104,$N19)="","",INDEX('Registru mijloace fixe'!$C$5:$C$104,$N19)))</f>
        <v/>
      </c>
      <c r="E19" s="39" t="str">
        <f>IF($N19=0,"",IF(INDEX('Registru mijloace fixe'!$L$5:$L$104,$N19)="","",INDEX('Registru mijloace fixe'!$L$5:$L$104,$N19)))</f>
        <v/>
      </c>
      <c r="F19" s="39" t="str">
        <f>IF($N19=0,"",IF(INDEX('Registru mijloace fixe'!$M$5:$M$104,$N19)="","",INDEX('Registru mijloace fixe'!$M$5:$M$104,$N19)))</f>
        <v/>
      </c>
      <c r="G19" s="41" t="str">
        <f>IF($N19=0,"",IF(INDEX('Registru mijloace fixe'!$I$5:$I$104,$N19)="","",INDEX('Registru mijloace fixe'!$I$5:$I$104,$N19)))</f>
        <v/>
      </c>
      <c r="H19" s="41" t="str">
        <f>IF($N19=0,"",IF(INDEX('Registru mijloace fixe'!$U$5:$U$104,$N19)="","",INDEX('Registru mijloace fixe'!$U$5:$U$104,$N19)))</f>
        <v/>
      </c>
      <c r="I19" s="38" t="str">
        <f>IF($N19=0,"",IF(INDEX('Registru mijloace fixe'!$P$5:$P$104,$N19)="","",INDEX('Registru mijloace fixe'!$P$5:$P$104,$N19)))</f>
        <v/>
      </c>
      <c r="J19" s="38" t="str">
        <f>IF($N19=0,"",IF(INDEX('Registru mijloace fixe'!$Q$5:$Q$104,$N19)="","",INDEX('Registru mijloace fixe'!$Q$5:$Q$104,$N19)))</f>
        <v/>
      </c>
      <c r="K19" s="26" t="str">
        <f t="shared" si="0"/>
        <v/>
      </c>
      <c r="N19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fixe'!$N$5:$N$104&gt;DataInv)&gt;0)),14),0)</f>
        <v>0</v>
      </c>
    </row>
    <row r="20" spans="2:14" x14ac:dyDescent="0.2">
      <c r="B20" s="38" t="str">
        <f>IF($N20=0,"",15)</f>
        <v/>
      </c>
      <c r="C20" s="38" t="str">
        <f>IF($N20=0,"",IF(INDEX('Registru mijloace fixe'!$B$5:$B$104,$N20)="","",INDEX('Registru mijloace fixe'!$B$5:$B$104,$N20)))</f>
        <v/>
      </c>
      <c r="D20" s="39" t="str">
        <f>IF($N20=0,"",IF(INDEX('Registru mijloace fixe'!$C$5:$C$104,$N20)="","",INDEX('Registru mijloace fixe'!$C$5:$C$104,$N20)))</f>
        <v/>
      </c>
      <c r="E20" s="39" t="str">
        <f>IF($N20=0,"",IF(INDEX('Registru mijloace fixe'!$L$5:$L$104,$N20)="","",INDEX('Registru mijloace fixe'!$L$5:$L$104,$N20)))</f>
        <v/>
      </c>
      <c r="F20" s="39" t="str">
        <f>IF($N20=0,"",IF(INDEX('Registru mijloace fixe'!$M$5:$M$104,$N20)="","",INDEX('Registru mijloace fixe'!$M$5:$M$104,$N20)))</f>
        <v/>
      </c>
      <c r="G20" s="41" t="str">
        <f>IF($N20=0,"",IF(INDEX('Registru mijloace fixe'!$I$5:$I$104,$N20)="","",INDEX('Registru mijloace fixe'!$I$5:$I$104,$N20)))</f>
        <v/>
      </c>
      <c r="H20" s="41" t="str">
        <f>IF($N20=0,"",IF(INDEX('Registru mijloace fixe'!$U$5:$U$104,$N20)="","",INDEX('Registru mijloace fixe'!$U$5:$U$104,$N20)))</f>
        <v/>
      </c>
      <c r="I20" s="38" t="str">
        <f>IF($N20=0,"",IF(INDEX('Registru mijloace fixe'!$P$5:$P$104,$N20)="","",INDEX('Registru mijloace fixe'!$P$5:$P$104,$N20)))</f>
        <v/>
      </c>
      <c r="J20" s="38" t="str">
        <f>IF($N20=0,"",IF(INDEX('Registru mijloace fixe'!$Q$5:$Q$104,$N20)="","",INDEX('Registru mijloace fixe'!$Q$5:$Q$104,$N20)))</f>
        <v/>
      </c>
      <c r="K20" s="26" t="str">
        <f t="shared" si="0"/>
        <v/>
      </c>
      <c r="N20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fixe'!$N$5:$N$104&gt;DataInv)&gt;0)),15),0)</f>
        <v>0</v>
      </c>
    </row>
    <row r="21" spans="2:14" x14ac:dyDescent="0.2">
      <c r="B21" s="38" t="str">
        <f>IF($N21=0,"",16)</f>
        <v/>
      </c>
      <c r="C21" s="38" t="str">
        <f>IF($N21=0,"",IF(INDEX('Registru mijloace fixe'!$B$5:$B$104,$N21)="","",INDEX('Registru mijloace fixe'!$B$5:$B$104,$N21)))</f>
        <v/>
      </c>
      <c r="D21" s="39" t="str">
        <f>IF($N21=0,"",IF(INDEX('Registru mijloace fixe'!$C$5:$C$104,$N21)="","",INDEX('Registru mijloace fixe'!$C$5:$C$104,$N21)))</f>
        <v/>
      </c>
      <c r="E21" s="39" t="str">
        <f>IF($N21=0,"",IF(INDEX('Registru mijloace fixe'!$L$5:$L$104,$N21)="","",INDEX('Registru mijloace fixe'!$L$5:$L$104,$N21)))</f>
        <v/>
      </c>
      <c r="F21" s="39" t="str">
        <f>IF($N21=0,"",IF(INDEX('Registru mijloace fixe'!$M$5:$M$104,$N21)="","",INDEX('Registru mijloace fixe'!$M$5:$M$104,$N21)))</f>
        <v/>
      </c>
      <c r="G21" s="41" t="str">
        <f>IF($N21=0,"",IF(INDEX('Registru mijloace fixe'!$I$5:$I$104,$N21)="","",INDEX('Registru mijloace fixe'!$I$5:$I$104,$N21)))</f>
        <v/>
      </c>
      <c r="H21" s="41" t="str">
        <f>IF($N21=0,"",IF(INDEX('Registru mijloace fixe'!$U$5:$U$104,$N21)="","",INDEX('Registru mijloace fixe'!$U$5:$U$104,$N21)))</f>
        <v/>
      </c>
      <c r="I21" s="38" t="str">
        <f>IF($N21=0,"",IF(INDEX('Registru mijloace fixe'!$P$5:$P$104,$N21)="","",INDEX('Registru mijloace fixe'!$P$5:$P$104,$N21)))</f>
        <v/>
      </c>
      <c r="J21" s="38" t="str">
        <f>IF($N21=0,"",IF(INDEX('Registru mijloace fixe'!$Q$5:$Q$104,$N21)="","",INDEX('Registru mijloace fixe'!$Q$5:$Q$104,$N21)))</f>
        <v/>
      </c>
      <c r="K21" s="26" t="str">
        <f t="shared" si="0"/>
        <v/>
      </c>
      <c r="N21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fixe'!$N$5:$N$104&gt;DataInv)&gt;0)),16),0)</f>
        <v>0</v>
      </c>
    </row>
    <row r="22" spans="2:14" x14ac:dyDescent="0.2">
      <c r="B22" s="38" t="str">
        <f>IF($N22=0,"",17)</f>
        <v/>
      </c>
      <c r="C22" s="38" t="str">
        <f>IF($N22=0,"",IF(INDEX('Registru mijloace fixe'!$B$5:$B$104,$N22)="","",INDEX('Registru mijloace fixe'!$B$5:$B$104,$N22)))</f>
        <v/>
      </c>
      <c r="D22" s="39" t="str">
        <f>IF($N22=0,"",IF(INDEX('Registru mijloace fixe'!$C$5:$C$104,$N22)="","",INDEX('Registru mijloace fixe'!$C$5:$C$104,$N22)))</f>
        <v/>
      </c>
      <c r="E22" s="39" t="str">
        <f>IF($N22=0,"",IF(INDEX('Registru mijloace fixe'!$L$5:$L$104,$N22)="","",INDEX('Registru mijloace fixe'!$L$5:$L$104,$N22)))</f>
        <v/>
      </c>
      <c r="F22" s="39" t="str">
        <f>IF($N22=0,"",IF(INDEX('Registru mijloace fixe'!$M$5:$M$104,$N22)="","",INDEX('Registru mijloace fixe'!$M$5:$M$104,$N22)))</f>
        <v/>
      </c>
      <c r="G22" s="41" t="str">
        <f>IF($N22=0,"",IF(INDEX('Registru mijloace fixe'!$I$5:$I$104,$N22)="","",INDEX('Registru mijloace fixe'!$I$5:$I$104,$N22)))</f>
        <v/>
      </c>
      <c r="H22" s="41" t="str">
        <f>IF($N22=0,"",IF(INDEX('Registru mijloace fixe'!$U$5:$U$104,$N22)="","",INDEX('Registru mijloace fixe'!$U$5:$U$104,$N22)))</f>
        <v/>
      </c>
      <c r="I22" s="38" t="str">
        <f>IF($N22=0,"",IF(INDEX('Registru mijloace fixe'!$P$5:$P$104,$N22)="","",INDEX('Registru mijloace fixe'!$P$5:$P$104,$N22)))</f>
        <v/>
      </c>
      <c r="J22" s="38" t="str">
        <f>IF($N22=0,"",IF(INDEX('Registru mijloace fixe'!$Q$5:$Q$104,$N22)="","",INDEX('Registru mijloace fixe'!$Q$5:$Q$104,$N22)))</f>
        <v/>
      </c>
      <c r="K22" s="26" t="str">
        <f t="shared" si="0"/>
        <v/>
      </c>
      <c r="N22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fixe'!$N$5:$N$104&gt;DataInv)&gt;0)),17),0)</f>
        <v>0</v>
      </c>
    </row>
    <row r="23" spans="2:14" x14ac:dyDescent="0.2">
      <c r="B23" s="38" t="str">
        <f>IF($N23=0,"",18)</f>
        <v/>
      </c>
      <c r="C23" s="38" t="str">
        <f>IF($N23=0,"",IF(INDEX('Registru mijloace fixe'!$B$5:$B$104,$N23)="","",INDEX('Registru mijloace fixe'!$B$5:$B$104,$N23)))</f>
        <v/>
      </c>
      <c r="D23" s="39" t="str">
        <f>IF($N23=0,"",IF(INDEX('Registru mijloace fixe'!$C$5:$C$104,$N23)="","",INDEX('Registru mijloace fixe'!$C$5:$C$104,$N23)))</f>
        <v/>
      </c>
      <c r="E23" s="39" t="str">
        <f>IF($N23=0,"",IF(INDEX('Registru mijloace fixe'!$L$5:$L$104,$N23)="","",INDEX('Registru mijloace fixe'!$L$5:$L$104,$N23)))</f>
        <v/>
      </c>
      <c r="F23" s="39" t="str">
        <f>IF($N23=0,"",IF(INDEX('Registru mijloace fixe'!$M$5:$M$104,$N23)="","",INDEX('Registru mijloace fixe'!$M$5:$M$104,$N23)))</f>
        <v/>
      </c>
      <c r="G23" s="41" t="str">
        <f>IF($N23=0,"",IF(INDEX('Registru mijloace fixe'!$I$5:$I$104,$N23)="","",INDEX('Registru mijloace fixe'!$I$5:$I$104,$N23)))</f>
        <v/>
      </c>
      <c r="H23" s="41" t="str">
        <f>IF($N23=0,"",IF(INDEX('Registru mijloace fixe'!$U$5:$U$104,$N23)="","",INDEX('Registru mijloace fixe'!$U$5:$U$104,$N23)))</f>
        <v/>
      </c>
      <c r="I23" s="38" t="str">
        <f>IF($N23=0,"",IF(INDEX('Registru mijloace fixe'!$P$5:$P$104,$N23)="","",INDEX('Registru mijloace fixe'!$P$5:$P$104,$N23)))</f>
        <v/>
      </c>
      <c r="J23" s="38" t="str">
        <f>IF($N23=0,"",IF(INDEX('Registru mijloace fixe'!$Q$5:$Q$104,$N23)="","",INDEX('Registru mijloace fixe'!$Q$5:$Q$104,$N23)))</f>
        <v/>
      </c>
      <c r="K23" s="26" t="str">
        <f t="shared" si="0"/>
        <v/>
      </c>
      <c r="N23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fixe'!$N$5:$N$104&gt;DataInv)&gt;0)),18),0)</f>
        <v>0</v>
      </c>
    </row>
    <row r="24" spans="2:14" x14ac:dyDescent="0.2">
      <c r="B24" s="38" t="str">
        <f>IF($N24=0,"",19)</f>
        <v/>
      </c>
      <c r="C24" s="38" t="str">
        <f>IF($N24=0,"",IF(INDEX('Registru mijloace fixe'!$B$5:$B$104,$N24)="","",INDEX('Registru mijloace fixe'!$B$5:$B$104,$N24)))</f>
        <v/>
      </c>
      <c r="D24" s="39" t="str">
        <f>IF($N24=0,"",IF(INDEX('Registru mijloace fixe'!$C$5:$C$104,$N24)="","",INDEX('Registru mijloace fixe'!$C$5:$C$104,$N24)))</f>
        <v/>
      </c>
      <c r="E24" s="39" t="str">
        <f>IF($N24=0,"",IF(INDEX('Registru mijloace fixe'!$L$5:$L$104,$N24)="","",INDEX('Registru mijloace fixe'!$L$5:$L$104,$N24)))</f>
        <v/>
      </c>
      <c r="F24" s="39" t="str">
        <f>IF($N24=0,"",IF(INDEX('Registru mijloace fixe'!$M$5:$M$104,$N24)="","",INDEX('Registru mijloace fixe'!$M$5:$M$104,$N24)))</f>
        <v/>
      </c>
      <c r="G24" s="41" t="str">
        <f>IF($N24=0,"",IF(INDEX('Registru mijloace fixe'!$I$5:$I$104,$N24)="","",INDEX('Registru mijloace fixe'!$I$5:$I$104,$N24)))</f>
        <v/>
      </c>
      <c r="H24" s="41" t="str">
        <f>IF($N24=0,"",IF(INDEX('Registru mijloace fixe'!$U$5:$U$104,$N24)="","",INDEX('Registru mijloace fixe'!$U$5:$U$104,$N24)))</f>
        <v/>
      </c>
      <c r="I24" s="38" t="str">
        <f>IF($N24=0,"",IF(INDEX('Registru mijloace fixe'!$P$5:$P$104,$N24)="","",INDEX('Registru mijloace fixe'!$P$5:$P$104,$N24)))</f>
        <v/>
      </c>
      <c r="J24" s="38" t="str">
        <f>IF($N24=0,"",IF(INDEX('Registru mijloace fixe'!$Q$5:$Q$104,$N24)="","",INDEX('Registru mijloace fixe'!$Q$5:$Q$104,$N24)))</f>
        <v/>
      </c>
      <c r="K24" s="26" t="str">
        <f t="shared" si="0"/>
        <v/>
      </c>
      <c r="N24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fixe'!$N$5:$N$104&gt;DataInv)&gt;0)),19),0)</f>
        <v>0</v>
      </c>
    </row>
    <row r="25" spans="2:14" x14ac:dyDescent="0.2">
      <c r="B25" s="38" t="str">
        <f>IF($N25=0,"",20)</f>
        <v/>
      </c>
      <c r="C25" s="38" t="str">
        <f>IF($N25=0,"",IF(INDEX('Registru mijloace fixe'!$B$5:$B$104,$N25)="","",INDEX('Registru mijloace fixe'!$B$5:$B$104,$N25)))</f>
        <v/>
      </c>
      <c r="D25" s="39" t="str">
        <f>IF($N25=0,"",IF(INDEX('Registru mijloace fixe'!$C$5:$C$104,$N25)="","",INDEX('Registru mijloace fixe'!$C$5:$C$104,$N25)))</f>
        <v/>
      </c>
      <c r="E25" s="39" t="str">
        <f>IF($N25=0,"",IF(INDEX('Registru mijloace fixe'!$L$5:$L$104,$N25)="","",INDEX('Registru mijloace fixe'!$L$5:$L$104,$N25)))</f>
        <v/>
      </c>
      <c r="F25" s="39" t="str">
        <f>IF($N25=0,"",IF(INDEX('Registru mijloace fixe'!$M$5:$M$104,$N25)="","",INDEX('Registru mijloace fixe'!$M$5:$M$104,$N25)))</f>
        <v/>
      </c>
      <c r="G25" s="41" t="str">
        <f>IF($N25=0,"",IF(INDEX('Registru mijloace fixe'!$I$5:$I$104,$N25)="","",INDEX('Registru mijloace fixe'!$I$5:$I$104,$N25)))</f>
        <v/>
      </c>
      <c r="H25" s="41" t="str">
        <f>IF($N25=0,"",IF(INDEX('Registru mijloace fixe'!$U$5:$U$104,$N25)="","",INDEX('Registru mijloace fixe'!$U$5:$U$104,$N25)))</f>
        <v/>
      </c>
      <c r="I25" s="38" t="str">
        <f>IF($N25=0,"",IF(INDEX('Registru mijloace fixe'!$P$5:$P$104,$N25)="","",INDEX('Registru mijloace fixe'!$P$5:$P$104,$N25)))</f>
        <v/>
      </c>
      <c r="J25" s="38" t="str">
        <f>IF($N25=0,"",IF(INDEX('Registru mijloace fixe'!$Q$5:$Q$104,$N25)="","",INDEX('Registru mijloace fixe'!$Q$5:$Q$104,$N25)))</f>
        <v/>
      </c>
      <c r="K25" s="26" t="str">
        <f t="shared" si="0"/>
        <v/>
      </c>
      <c r="N25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fixe'!$N$5:$N$104&gt;DataInv)&gt;0)),20),0)</f>
        <v>0</v>
      </c>
    </row>
    <row r="26" spans="2:14" x14ac:dyDescent="0.2">
      <c r="B26" s="38" t="str">
        <f>IF($N26=0,"",21)</f>
        <v/>
      </c>
      <c r="C26" s="38" t="str">
        <f>IF($N26=0,"",IF(INDEX('Registru mijloace fixe'!$B$5:$B$104,$N26)="","",INDEX('Registru mijloace fixe'!$B$5:$B$104,$N26)))</f>
        <v/>
      </c>
      <c r="D26" s="39" t="str">
        <f>IF($N26=0,"",IF(INDEX('Registru mijloace fixe'!$C$5:$C$104,$N26)="","",INDEX('Registru mijloace fixe'!$C$5:$C$104,$N26)))</f>
        <v/>
      </c>
      <c r="E26" s="39" t="str">
        <f>IF($N26=0,"",IF(INDEX('Registru mijloace fixe'!$L$5:$L$104,$N26)="","",INDEX('Registru mijloace fixe'!$L$5:$L$104,$N26)))</f>
        <v/>
      </c>
      <c r="F26" s="39" t="str">
        <f>IF($N26=0,"",IF(INDEX('Registru mijloace fixe'!$M$5:$M$104,$N26)="","",INDEX('Registru mijloace fixe'!$M$5:$M$104,$N26)))</f>
        <v/>
      </c>
      <c r="G26" s="41" t="str">
        <f>IF($N26=0,"",IF(INDEX('Registru mijloace fixe'!$I$5:$I$104,$N26)="","",INDEX('Registru mijloace fixe'!$I$5:$I$104,$N26)))</f>
        <v/>
      </c>
      <c r="H26" s="41" t="str">
        <f>IF($N26=0,"",IF(INDEX('Registru mijloace fixe'!$U$5:$U$104,$N26)="","",INDEX('Registru mijloace fixe'!$U$5:$U$104,$N26)))</f>
        <v/>
      </c>
      <c r="I26" s="38" t="str">
        <f>IF($N26=0,"",IF(INDEX('Registru mijloace fixe'!$P$5:$P$104,$N26)="","",INDEX('Registru mijloace fixe'!$P$5:$P$104,$N26)))</f>
        <v/>
      </c>
      <c r="J26" s="38" t="str">
        <f>IF($N26=0,"",IF(INDEX('Registru mijloace fixe'!$Q$5:$Q$104,$N26)="","",INDEX('Registru mijloace fixe'!$Q$5:$Q$104,$N26)))</f>
        <v/>
      </c>
      <c r="K26" s="26" t="str">
        <f t="shared" si="0"/>
        <v/>
      </c>
      <c r="N26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fixe'!$N$5:$N$104&gt;DataInv)&gt;0)),21),0)</f>
        <v>0</v>
      </c>
    </row>
    <row r="27" spans="2:14" x14ac:dyDescent="0.2">
      <c r="B27" s="38" t="str">
        <f>IF($N27=0,"",22)</f>
        <v/>
      </c>
      <c r="C27" s="38" t="str">
        <f>IF($N27=0,"",IF(INDEX('Registru mijloace fixe'!$B$5:$B$104,$N27)="","",INDEX('Registru mijloace fixe'!$B$5:$B$104,$N27)))</f>
        <v/>
      </c>
      <c r="D27" s="39" t="str">
        <f>IF($N27=0,"",IF(INDEX('Registru mijloace fixe'!$C$5:$C$104,$N27)="","",INDEX('Registru mijloace fixe'!$C$5:$C$104,$N27)))</f>
        <v/>
      </c>
      <c r="E27" s="39" t="str">
        <f>IF($N27=0,"",IF(INDEX('Registru mijloace fixe'!$L$5:$L$104,$N27)="","",INDEX('Registru mijloace fixe'!$L$5:$L$104,$N27)))</f>
        <v/>
      </c>
      <c r="F27" s="39" t="str">
        <f>IF($N27=0,"",IF(INDEX('Registru mijloace fixe'!$M$5:$M$104,$N27)="","",INDEX('Registru mijloace fixe'!$M$5:$M$104,$N27)))</f>
        <v/>
      </c>
      <c r="G27" s="41" t="str">
        <f>IF($N27=0,"",IF(INDEX('Registru mijloace fixe'!$I$5:$I$104,$N27)="","",INDEX('Registru mijloace fixe'!$I$5:$I$104,$N27)))</f>
        <v/>
      </c>
      <c r="H27" s="41" t="str">
        <f>IF($N27=0,"",IF(INDEX('Registru mijloace fixe'!$U$5:$U$104,$N27)="","",INDEX('Registru mijloace fixe'!$U$5:$U$104,$N27)))</f>
        <v/>
      </c>
      <c r="I27" s="38" t="str">
        <f>IF($N27=0,"",IF(INDEX('Registru mijloace fixe'!$P$5:$P$104,$N27)="","",INDEX('Registru mijloace fixe'!$P$5:$P$104,$N27)))</f>
        <v/>
      </c>
      <c r="J27" s="38" t="str">
        <f>IF($N27=0,"",IF(INDEX('Registru mijloace fixe'!$Q$5:$Q$104,$N27)="","",INDEX('Registru mijloace fixe'!$Q$5:$Q$104,$N27)))</f>
        <v/>
      </c>
      <c r="K27" s="26" t="str">
        <f t="shared" si="0"/>
        <v/>
      </c>
      <c r="N27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fixe'!$N$5:$N$104&gt;DataInv)&gt;0)),22),0)</f>
        <v>0</v>
      </c>
    </row>
    <row r="28" spans="2:14" x14ac:dyDescent="0.2">
      <c r="B28" s="38" t="str">
        <f>IF($N28=0,"",23)</f>
        <v/>
      </c>
      <c r="C28" s="38" t="str">
        <f>IF($N28=0,"",IF(INDEX('Registru mijloace fixe'!$B$5:$B$104,$N28)="","",INDEX('Registru mijloace fixe'!$B$5:$B$104,$N28)))</f>
        <v/>
      </c>
      <c r="D28" s="39" t="str">
        <f>IF($N28=0,"",IF(INDEX('Registru mijloace fixe'!$C$5:$C$104,$N28)="","",INDEX('Registru mijloace fixe'!$C$5:$C$104,$N28)))</f>
        <v/>
      </c>
      <c r="E28" s="39" t="str">
        <f>IF($N28=0,"",IF(INDEX('Registru mijloace fixe'!$L$5:$L$104,$N28)="","",INDEX('Registru mijloace fixe'!$L$5:$L$104,$N28)))</f>
        <v/>
      </c>
      <c r="F28" s="39" t="str">
        <f>IF($N28=0,"",IF(INDEX('Registru mijloace fixe'!$M$5:$M$104,$N28)="","",INDEX('Registru mijloace fixe'!$M$5:$M$104,$N28)))</f>
        <v/>
      </c>
      <c r="G28" s="41" t="str">
        <f>IF($N28=0,"",IF(INDEX('Registru mijloace fixe'!$I$5:$I$104,$N28)="","",INDEX('Registru mijloace fixe'!$I$5:$I$104,$N28)))</f>
        <v/>
      </c>
      <c r="H28" s="41" t="str">
        <f>IF($N28=0,"",IF(INDEX('Registru mijloace fixe'!$U$5:$U$104,$N28)="","",INDEX('Registru mijloace fixe'!$U$5:$U$104,$N28)))</f>
        <v/>
      </c>
      <c r="I28" s="38" t="str">
        <f>IF($N28=0,"",IF(INDEX('Registru mijloace fixe'!$P$5:$P$104,$N28)="","",INDEX('Registru mijloace fixe'!$P$5:$P$104,$N28)))</f>
        <v/>
      </c>
      <c r="J28" s="38" t="str">
        <f>IF($N28=0,"",IF(INDEX('Registru mijloace fixe'!$Q$5:$Q$104,$N28)="","",INDEX('Registru mijloace fixe'!$Q$5:$Q$104,$N28)))</f>
        <v/>
      </c>
      <c r="K28" s="26" t="str">
        <f t="shared" si="0"/>
        <v/>
      </c>
      <c r="N28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fixe'!$N$5:$N$104&gt;DataInv)&gt;0)),23),0)</f>
        <v>0</v>
      </c>
    </row>
    <row r="29" spans="2:14" x14ac:dyDescent="0.2">
      <c r="B29" s="38" t="str">
        <f>IF($N29=0,"",24)</f>
        <v/>
      </c>
      <c r="C29" s="38" t="str">
        <f>IF($N29=0,"",IF(INDEX('Registru mijloace fixe'!$B$5:$B$104,$N29)="","",INDEX('Registru mijloace fixe'!$B$5:$B$104,$N29)))</f>
        <v/>
      </c>
      <c r="D29" s="39" t="str">
        <f>IF($N29=0,"",IF(INDEX('Registru mijloace fixe'!$C$5:$C$104,$N29)="","",INDEX('Registru mijloace fixe'!$C$5:$C$104,$N29)))</f>
        <v/>
      </c>
      <c r="E29" s="39" t="str">
        <f>IF($N29=0,"",IF(INDEX('Registru mijloace fixe'!$L$5:$L$104,$N29)="","",INDEX('Registru mijloace fixe'!$L$5:$L$104,$N29)))</f>
        <v/>
      </c>
      <c r="F29" s="39" t="str">
        <f>IF($N29=0,"",IF(INDEX('Registru mijloace fixe'!$M$5:$M$104,$N29)="","",INDEX('Registru mijloace fixe'!$M$5:$M$104,$N29)))</f>
        <v/>
      </c>
      <c r="G29" s="41" t="str">
        <f>IF($N29=0,"",IF(INDEX('Registru mijloace fixe'!$I$5:$I$104,$N29)="","",INDEX('Registru mijloace fixe'!$I$5:$I$104,$N29)))</f>
        <v/>
      </c>
      <c r="H29" s="41" t="str">
        <f>IF($N29=0,"",IF(INDEX('Registru mijloace fixe'!$U$5:$U$104,$N29)="","",INDEX('Registru mijloace fixe'!$U$5:$U$104,$N29)))</f>
        <v/>
      </c>
      <c r="I29" s="38" t="str">
        <f>IF($N29=0,"",IF(INDEX('Registru mijloace fixe'!$P$5:$P$104,$N29)="","",INDEX('Registru mijloace fixe'!$P$5:$P$104,$N29)))</f>
        <v/>
      </c>
      <c r="J29" s="38" t="str">
        <f>IF($N29=0,"",IF(INDEX('Registru mijloace fixe'!$Q$5:$Q$104,$N29)="","",INDEX('Registru mijloace fixe'!$Q$5:$Q$104,$N29)))</f>
        <v/>
      </c>
      <c r="K29" s="26" t="str">
        <f t="shared" si="0"/>
        <v/>
      </c>
      <c r="N29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fixe'!$N$5:$N$104&gt;DataInv)&gt;0)),24),0)</f>
        <v>0</v>
      </c>
    </row>
    <row r="30" spans="2:14" x14ac:dyDescent="0.2">
      <c r="B30" s="38" t="str">
        <f>IF($N30=0,"",25)</f>
        <v/>
      </c>
      <c r="C30" s="38" t="str">
        <f>IF($N30=0,"",IF(INDEX('Registru mijloace fixe'!$B$5:$B$104,$N30)="","",INDEX('Registru mijloace fixe'!$B$5:$B$104,$N30)))</f>
        <v/>
      </c>
      <c r="D30" s="39" t="str">
        <f>IF($N30=0,"",IF(INDEX('Registru mijloace fixe'!$C$5:$C$104,$N30)="","",INDEX('Registru mijloace fixe'!$C$5:$C$104,$N30)))</f>
        <v/>
      </c>
      <c r="E30" s="39" t="str">
        <f>IF($N30=0,"",IF(INDEX('Registru mijloace fixe'!$L$5:$L$104,$N30)="","",INDEX('Registru mijloace fixe'!$L$5:$L$104,$N30)))</f>
        <v/>
      </c>
      <c r="F30" s="39" t="str">
        <f>IF($N30=0,"",IF(INDEX('Registru mijloace fixe'!$M$5:$M$104,$N30)="","",INDEX('Registru mijloace fixe'!$M$5:$M$104,$N30)))</f>
        <v/>
      </c>
      <c r="G30" s="41" t="str">
        <f>IF($N30=0,"",IF(INDEX('Registru mijloace fixe'!$I$5:$I$104,$N30)="","",INDEX('Registru mijloace fixe'!$I$5:$I$104,$N30)))</f>
        <v/>
      </c>
      <c r="H30" s="41" t="str">
        <f>IF($N30=0,"",IF(INDEX('Registru mijloace fixe'!$U$5:$U$104,$N30)="","",INDEX('Registru mijloace fixe'!$U$5:$U$104,$N30)))</f>
        <v/>
      </c>
      <c r="I30" s="38" t="str">
        <f>IF($N30=0,"",IF(INDEX('Registru mijloace fixe'!$P$5:$P$104,$N30)="","",INDEX('Registru mijloace fixe'!$P$5:$P$104,$N30)))</f>
        <v/>
      </c>
      <c r="J30" s="38" t="str">
        <f>IF($N30=0,"",IF(INDEX('Registru mijloace fixe'!$Q$5:$Q$104,$N30)="","",INDEX('Registru mijloace fixe'!$Q$5:$Q$104,$N30)))</f>
        <v/>
      </c>
      <c r="K30" s="26" t="str">
        <f t="shared" si="0"/>
        <v/>
      </c>
      <c r="N30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fixe'!$N$5:$N$104&gt;DataInv)&gt;0)),25),0)</f>
        <v>0</v>
      </c>
    </row>
    <row r="31" spans="2:14" x14ac:dyDescent="0.2">
      <c r="B31" s="38" t="str">
        <f>IF($N31=0,"",26)</f>
        <v/>
      </c>
      <c r="C31" s="38" t="str">
        <f>IF($N31=0,"",IF(INDEX('Registru mijloace fixe'!$B$5:$B$104,$N31)="","",INDEX('Registru mijloace fixe'!$B$5:$B$104,$N31)))</f>
        <v/>
      </c>
      <c r="D31" s="39" t="str">
        <f>IF($N31=0,"",IF(INDEX('Registru mijloace fixe'!$C$5:$C$104,$N31)="","",INDEX('Registru mijloace fixe'!$C$5:$C$104,$N31)))</f>
        <v/>
      </c>
      <c r="E31" s="39" t="str">
        <f>IF($N31=0,"",IF(INDEX('Registru mijloace fixe'!$L$5:$L$104,$N31)="","",INDEX('Registru mijloace fixe'!$L$5:$L$104,$N31)))</f>
        <v/>
      </c>
      <c r="F31" s="39" t="str">
        <f>IF($N31=0,"",IF(INDEX('Registru mijloace fixe'!$M$5:$M$104,$N31)="","",INDEX('Registru mijloace fixe'!$M$5:$M$104,$N31)))</f>
        <v/>
      </c>
      <c r="G31" s="41" t="str">
        <f>IF($N31=0,"",IF(INDEX('Registru mijloace fixe'!$I$5:$I$104,$N31)="","",INDEX('Registru mijloace fixe'!$I$5:$I$104,$N31)))</f>
        <v/>
      </c>
      <c r="H31" s="41" t="str">
        <f>IF($N31=0,"",IF(INDEX('Registru mijloace fixe'!$U$5:$U$104,$N31)="","",INDEX('Registru mijloace fixe'!$U$5:$U$104,$N31)))</f>
        <v/>
      </c>
      <c r="I31" s="38" t="str">
        <f>IF($N31=0,"",IF(INDEX('Registru mijloace fixe'!$P$5:$P$104,$N31)="","",INDEX('Registru mijloace fixe'!$P$5:$P$104,$N31)))</f>
        <v/>
      </c>
      <c r="J31" s="38" t="str">
        <f>IF($N31=0,"",IF(INDEX('Registru mijloace fixe'!$Q$5:$Q$104,$N31)="","",INDEX('Registru mijloace fixe'!$Q$5:$Q$104,$N31)))</f>
        <v/>
      </c>
      <c r="K31" s="26" t="str">
        <f t="shared" si="0"/>
        <v/>
      </c>
      <c r="N31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fixe'!$N$5:$N$104&gt;DataInv)&gt;0)),26),0)</f>
        <v>0</v>
      </c>
    </row>
    <row r="32" spans="2:14" x14ac:dyDescent="0.2">
      <c r="B32" s="38" t="str">
        <f>IF($N32=0,"",27)</f>
        <v/>
      </c>
      <c r="C32" s="38" t="str">
        <f>IF($N32=0,"",IF(INDEX('Registru mijloace fixe'!$B$5:$B$104,$N32)="","",INDEX('Registru mijloace fixe'!$B$5:$B$104,$N32)))</f>
        <v/>
      </c>
      <c r="D32" s="39" t="str">
        <f>IF($N32=0,"",IF(INDEX('Registru mijloace fixe'!$C$5:$C$104,$N32)="","",INDEX('Registru mijloace fixe'!$C$5:$C$104,$N32)))</f>
        <v/>
      </c>
      <c r="E32" s="39" t="str">
        <f>IF($N32=0,"",IF(INDEX('Registru mijloace fixe'!$L$5:$L$104,$N32)="","",INDEX('Registru mijloace fixe'!$L$5:$L$104,$N32)))</f>
        <v/>
      </c>
      <c r="F32" s="39" t="str">
        <f>IF($N32=0,"",IF(INDEX('Registru mijloace fixe'!$M$5:$M$104,$N32)="","",INDEX('Registru mijloace fixe'!$M$5:$M$104,$N32)))</f>
        <v/>
      </c>
      <c r="G32" s="41" t="str">
        <f>IF($N32=0,"",IF(INDEX('Registru mijloace fixe'!$I$5:$I$104,$N32)="","",INDEX('Registru mijloace fixe'!$I$5:$I$104,$N32)))</f>
        <v/>
      </c>
      <c r="H32" s="41" t="str">
        <f>IF($N32=0,"",IF(INDEX('Registru mijloace fixe'!$U$5:$U$104,$N32)="","",INDEX('Registru mijloace fixe'!$U$5:$U$104,$N32)))</f>
        <v/>
      </c>
      <c r="I32" s="38" t="str">
        <f>IF($N32=0,"",IF(INDEX('Registru mijloace fixe'!$P$5:$P$104,$N32)="","",INDEX('Registru mijloace fixe'!$P$5:$P$104,$N32)))</f>
        <v/>
      </c>
      <c r="J32" s="38" t="str">
        <f>IF($N32=0,"",IF(INDEX('Registru mijloace fixe'!$Q$5:$Q$104,$N32)="","",INDEX('Registru mijloace fixe'!$Q$5:$Q$104,$N32)))</f>
        <v/>
      </c>
      <c r="K32" s="26" t="str">
        <f t="shared" si="0"/>
        <v/>
      </c>
      <c r="N32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fixe'!$N$5:$N$104&gt;DataInv)&gt;0)),27),0)</f>
        <v>0</v>
      </c>
    </row>
    <row r="33" spans="2:14" x14ac:dyDescent="0.2">
      <c r="B33" s="38" t="str">
        <f>IF($N33=0,"",28)</f>
        <v/>
      </c>
      <c r="C33" s="38" t="str">
        <f>IF($N33=0,"",IF(INDEX('Registru mijloace fixe'!$B$5:$B$104,$N33)="","",INDEX('Registru mijloace fixe'!$B$5:$B$104,$N33)))</f>
        <v/>
      </c>
      <c r="D33" s="39" t="str">
        <f>IF($N33=0,"",IF(INDEX('Registru mijloace fixe'!$C$5:$C$104,$N33)="","",INDEX('Registru mijloace fixe'!$C$5:$C$104,$N33)))</f>
        <v/>
      </c>
      <c r="E33" s="39" t="str">
        <f>IF($N33=0,"",IF(INDEX('Registru mijloace fixe'!$L$5:$L$104,$N33)="","",INDEX('Registru mijloace fixe'!$L$5:$L$104,$N33)))</f>
        <v/>
      </c>
      <c r="F33" s="39" t="str">
        <f>IF($N33=0,"",IF(INDEX('Registru mijloace fixe'!$M$5:$M$104,$N33)="","",INDEX('Registru mijloace fixe'!$M$5:$M$104,$N33)))</f>
        <v/>
      </c>
      <c r="G33" s="41" t="str">
        <f>IF($N33=0,"",IF(INDEX('Registru mijloace fixe'!$I$5:$I$104,$N33)="","",INDEX('Registru mijloace fixe'!$I$5:$I$104,$N33)))</f>
        <v/>
      </c>
      <c r="H33" s="41" t="str">
        <f>IF($N33=0,"",IF(INDEX('Registru mijloace fixe'!$U$5:$U$104,$N33)="","",INDEX('Registru mijloace fixe'!$U$5:$U$104,$N33)))</f>
        <v/>
      </c>
      <c r="I33" s="38" t="str">
        <f>IF($N33=0,"",IF(INDEX('Registru mijloace fixe'!$P$5:$P$104,$N33)="","",INDEX('Registru mijloace fixe'!$P$5:$P$104,$N33)))</f>
        <v/>
      </c>
      <c r="J33" s="38" t="str">
        <f>IF($N33=0,"",IF(INDEX('Registru mijloace fixe'!$Q$5:$Q$104,$N33)="","",INDEX('Registru mijloace fixe'!$Q$5:$Q$104,$N33)))</f>
        <v/>
      </c>
      <c r="K33" s="26" t="str">
        <f t="shared" si="0"/>
        <v/>
      </c>
      <c r="N33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fixe'!$N$5:$N$104&gt;DataInv)&gt;0)),28),0)</f>
        <v>0</v>
      </c>
    </row>
    <row r="34" spans="2:14" x14ac:dyDescent="0.2">
      <c r="B34" s="38" t="str">
        <f>IF($N34=0,"",29)</f>
        <v/>
      </c>
      <c r="C34" s="38" t="str">
        <f>IF($N34=0,"",IF(INDEX('Registru mijloace fixe'!$B$5:$B$104,$N34)="","",INDEX('Registru mijloace fixe'!$B$5:$B$104,$N34)))</f>
        <v/>
      </c>
      <c r="D34" s="39" t="str">
        <f>IF($N34=0,"",IF(INDEX('Registru mijloace fixe'!$C$5:$C$104,$N34)="","",INDEX('Registru mijloace fixe'!$C$5:$C$104,$N34)))</f>
        <v/>
      </c>
      <c r="E34" s="39" t="str">
        <f>IF($N34=0,"",IF(INDEX('Registru mijloace fixe'!$L$5:$L$104,$N34)="","",INDEX('Registru mijloace fixe'!$L$5:$L$104,$N34)))</f>
        <v/>
      </c>
      <c r="F34" s="39" t="str">
        <f>IF($N34=0,"",IF(INDEX('Registru mijloace fixe'!$M$5:$M$104,$N34)="","",INDEX('Registru mijloace fixe'!$M$5:$M$104,$N34)))</f>
        <v/>
      </c>
      <c r="G34" s="41" t="str">
        <f>IF($N34=0,"",IF(INDEX('Registru mijloace fixe'!$I$5:$I$104,$N34)="","",INDEX('Registru mijloace fixe'!$I$5:$I$104,$N34)))</f>
        <v/>
      </c>
      <c r="H34" s="41" t="str">
        <f>IF($N34=0,"",IF(INDEX('Registru mijloace fixe'!$U$5:$U$104,$N34)="","",INDEX('Registru mijloace fixe'!$U$5:$U$104,$N34)))</f>
        <v/>
      </c>
      <c r="I34" s="38" t="str">
        <f>IF($N34=0,"",IF(INDEX('Registru mijloace fixe'!$P$5:$P$104,$N34)="","",INDEX('Registru mijloace fixe'!$P$5:$P$104,$N34)))</f>
        <v/>
      </c>
      <c r="J34" s="38" t="str">
        <f>IF($N34=0,"",IF(INDEX('Registru mijloace fixe'!$Q$5:$Q$104,$N34)="","",INDEX('Registru mijloace fixe'!$Q$5:$Q$104,$N34)))</f>
        <v/>
      </c>
      <c r="K34" s="26" t="str">
        <f t="shared" si="0"/>
        <v/>
      </c>
      <c r="N34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fixe'!$N$5:$N$104&gt;DataInv)&gt;0)),29),0)</f>
        <v>0</v>
      </c>
    </row>
    <row r="35" spans="2:14" x14ac:dyDescent="0.2">
      <c r="B35" s="38" t="str">
        <f>IF($N35=0,"",30)</f>
        <v/>
      </c>
      <c r="C35" s="38" t="str">
        <f>IF($N35=0,"",IF(INDEX('Registru mijloace fixe'!$B$5:$B$104,$N35)="","",INDEX('Registru mijloace fixe'!$B$5:$B$104,$N35)))</f>
        <v/>
      </c>
      <c r="D35" s="39" t="str">
        <f>IF($N35=0,"",IF(INDEX('Registru mijloace fixe'!$C$5:$C$104,$N35)="","",INDEX('Registru mijloace fixe'!$C$5:$C$104,$N35)))</f>
        <v/>
      </c>
      <c r="E35" s="39" t="str">
        <f>IF($N35=0,"",IF(INDEX('Registru mijloace fixe'!$L$5:$L$104,$N35)="","",INDEX('Registru mijloace fixe'!$L$5:$L$104,$N35)))</f>
        <v/>
      </c>
      <c r="F35" s="39" t="str">
        <f>IF($N35=0,"",IF(INDEX('Registru mijloace fixe'!$M$5:$M$104,$N35)="","",INDEX('Registru mijloace fixe'!$M$5:$M$104,$N35)))</f>
        <v/>
      </c>
      <c r="G35" s="41" t="str">
        <f>IF($N35=0,"",IF(INDEX('Registru mijloace fixe'!$I$5:$I$104,$N35)="","",INDEX('Registru mijloace fixe'!$I$5:$I$104,$N35)))</f>
        <v/>
      </c>
      <c r="H35" s="41" t="str">
        <f>IF($N35=0,"",IF(INDEX('Registru mijloace fixe'!$U$5:$U$104,$N35)="","",INDEX('Registru mijloace fixe'!$U$5:$U$104,$N35)))</f>
        <v/>
      </c>
      <c r="I35" s="38" t="str">
        <f>IF($N35=0,"",IF(INDEX('Registru mijloace fixe'!$P$5:$P$104,$N35)="","",INDEX('Registru mijloace fixe'!$P$5:$P$104,$N35)))</f>
        <v/>
      </c>
      <c r="J35" s="38" t="str">
        <f>IF($N35=0,"",IF(INDEX('Registru mijloace fixe'!$Q$5:$Q$104,$N35)="","",INDEX('Registru mijloace fixe'!$Q$5:$Q$104,$N35)))</f>
        <v/>
      </c>
      <c r="K35" s="26" t="str">
        <f t="shared" si="0"/>
        <v/>
      </c>
      <c r="N35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fixe'!$N$5:$N$104&gt;DataInv)&gt;0)),30),0)</f>
        <v>0</v>
      </c>
    </row>
    <row r="36" spans="2:14" x14ac:dyDescent="0.2">
      <c r="B36" s="38" t="str">
        <f>IF($N36=0,"",31)</f>
        <v/>
      </c>
      <c r="C36" s="38" t="str">
        <f>IF($N36=0,"",IF(INDEX('Registru mijloace fixe'!$B$5:$B$104,$N36)="","",INDEX('Registru mijloace fixe'!$B$5:$B$104,$N36)))</f>
        <v/>
      </c>
      <c r="D36" s="39" t="str">
        <f>IF($N36=0,"",IF(INDEX('Registru mijloace fixe'!$C$5:$C$104,$N36)="","",INDEX('Registru mijloace fixe'!$C$5:$C$104,$N36)))</f>
        <v/>
      </c>
      <c r="E36" s="39" t="str">
        <f>IF($N36=0,"",IF(INDEX('Registru mijloace fixe'!$L$5:$L$104,$N36)="","",INDEX('Registru mijloace fixe'!$L$5:$L$104,$N36)))</f>
        <v/>
      </c>
      <c r="F36" s="39" t="str">
        <f>IF($N36=0,"",IF(INDEX('Registru mijloace fixe'!$M$5:$M$104,$N36)="","",INDEX('Registru mijloace fixe'!$M$5:$M$104,$N36)))</f>
        <v/>
      </c>
      <c r="G36" s="41" t="str">
        <f>IF($N36=0,"",IF(INDEX('Registru mijloace fixe'!$I$5:$I$104,$N36)="","",INDEX('Registru mijloace fixe'!$I$5:$I$104,$N36)))</f>
        <v/>
      </c>
      <c r="H36" s="41" t="str">
        <f>IF($N36=0,"",IF(INDEX('Registru mijloace fixe'!$U$5:$U$104,$N36)="","",INDEX('Registru mijloace fixe'!$U$5:$U$104,$N36)))</f>
        <v/>
      </c>
      <c r="I36" s="38" t="str">
        <f>IF($N36=0,"",IF(INDEX('Registru mijloace fixe'!$P$5:$P$104,$N36)="","",INDEX('Registru mijloace fixe'!$P$5:$P$104,$N36)))</f>
        <v/>
      </c>
      <c r="J36" s="38" t="str">
        <f>IF($N36=0,"",IF(INDEX('Registru mijloace fixe'!$Q$5:$Q$104,$N36)="","",INDEX('Registru mijloace fixe'!$Q$5:$Q$104,$N36)))</f>
        <v/>
      </c>
      <c r="K36" s="26" t="str">
        <f t="shared" si="0"/>
        <v/>
      </c>
      <c r="N36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fixe'!$N$5:$N$104&gt;DataInv)&gt;0)),31),0)</f>
        <v>0</v>
      </c>
    </row>
    <row r="37" spans="2:14" x14ac:dyDescent="0.2">
      <c r="B37" s="38" t="str">
        <f>IF($N37=0,"",32)</f>
        <v/>
      </c>
      <c r="C37" s="38" t="str">
        <f>IF($N37=0,"",IF(INDEX('Registru mijloace fixe'!$B$5:$B$104,$N37)="","",INDEX('Registru mijloace fixe'!$B$5:$B$104,$N37)))</f>
        <v/>
      </c>
      <c r="D37" s="39" t="str">
        <f>IF($N37=0,"",IF(INDEX('Registru mijloace fixe'!$C$5:$C$104,$N37)="","",INDEX('Registru mijloace fixe'!$C$5:$C$104,$N37)))</f>
        <v/>
      </c>
      <c r="E37" s="39" t="str">
        <f>IF($N37=0,"",IF(INDEX('Registru mijloace fixe'!$L$5:$L$104,$N37)="","",INDEX('Registru mijloace fixe'!$L$5:$L$104,$N37)))</f>
        <v/>
      </c>
      <c r="F37" s="39" t="str">
        <f>IF($N37=0,"",IF(INDEX('Registru mijloace fixe'!$M$5:$M$104,$N37)="","",INDEX('Registru mijloace fixe'!$M$5:$M$104,$N37)))</f>
        <v/>
      </c>
      <c r="G37" s="41" t="str">
        <f>IF($N37=0,"",IF(INDEX('Registru mijloace fixe'!$I$5:$I$104,$N37)="","",INDEX('Registru mijloace fixe'!$I$5:$I$104,$N37)))</f>
        <v/>
      </c>
      <c r="H37" s="41" t="str">
        <f>IF($N37=0,"",IF(INDEX('Registru mijloace fixe'!$U$5:$U$104,$N37)="","",INDEX('Registru mijloace fixe'!$U$5:$U$104,$N37)))</f>
        <v/>
      </c>
      <c r="I37" s="38" t="str">
        <f>IF($N37=0,"",IF(INDEX('Registru mijloace fixe'!$P$5:$P$104,$N37)="","",INDEX('Registru mijloace fixe'!$P$5:$P$104,$N37)))</f>
        <v/>
      </c>
      <c r="J37" s="38" t="str">
        <f>IF($N37=0,"",IF(INDEX('Registru mijloace fixe'!$Q$5:$Q$104,$N37)="","",INDEX('Registru mijloace fixe'!$Q$5:$Q$104,$N37)))</f>
        <v/>
      </c>
      <c r="K37" s="26" t="str">
        <f t="shared" si="0"/>
        <v/>
      </c>
      <c r="N37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fixe'!$N$5:$N$104&gt;DataInv)&gt;0)),32),0)</f>
        <v>0</v>
      </c>
    </row>
    <row r="38" spans="2:14" x14ac:dyDescent="0.2">
      <c r="B38" s="38" t="str">
        <f>IF($N38=0,"",33)</f>
        <v/>
      </c>
      <c r="C38" s="38" t="str">
        <f>IF($N38=0,"",IF(INDEX('Registru mijloace fixe'!$B$5:$B$104,$N38)="","",INDEX('Registru mijloace fixe'!$B$5:$B$104,$N38)))</f>
        <v/>
      </c>
      <c r="D38" s="39" t="str">
        <f>IF($N38=0,"",IF(INDEX('Registru mijloace fixe'!$C$5:$C$104,$N38)="","",INDEX('Registru mijloace fixe'!$C$5:$C$104,$N38)))</f>
        <v/>
      </c>
      <c r="E38" s="39" t="str">
        <f>IF($N38=0,"",IF(INDEX('Registru mijloace fixe'!$L$5:$L$104,$N38)="","",INDEX('Registru mijloace fixe'!$L$5:$L$104,$N38)))</f>
        <v/>
      </c>
      <c r="F38" s="39" t="str">
        <f>IF($N38=0,"",IF(INDEX('Registru mijloace fixe'!$M$5:$M$104,$N38)="","",INDEX('Registru mijloace fixe'!$M$5:$M$104,$N38)))</f>
        <v/>
      </c>
      <c r="G38" s="41" t="str">
        <f>IF($N38=0,"",IF(INDEX('Registru mijloace fixe'!$I$5:$I$104,$N38)="","",INDEX('Registru mijloace fixe'!$I$5:$I$104,$N38)))</f>
        <v/>
      </c>
      <c r="H38" s="41" t="str">
        <f>IF($N38=0,"",IF(INDEX('Registru mijloace fixe'!$U$5:$U$104,$N38)="","",INDEX('Registru mijloace fixe'!$U$5:$U$104,$N38)))</f>
        <v/>
      </c>
      <c r="I38" s="38" t="str">
        <f>IF($N38=0,"",IF(INDEX('Registru mijloace fixe'!$P$5:$P$104,$N38)="","",INDEX('Registru mijloace fixe'!$P$5:$P$104,$N38)))</f>
        <v/>
      </c>
      <c r="J38" s="38" t="str">
        <f>IF($N38=0,"",IF(INDEX('Registru mijloace fixe'!$Q$5:$Q$104,$N38)="","",INDEX('Registru mijloace fixe'!$Q$5:$Q$104,$N38)))</f>
        <v/>
      </c>
      <c r="K38" s="26" t="str">
        <f t="shared" ref="K38:K69" si="1">IF($N38=0,"",IF(I38="Nu","Lipsă: proces-verbal și stabilirea cauzei",IF(I38="","Necompletat",IF(J38="Neutilizată","Propune casarea sau vânzarea",IF(J38="Defectă","Reparație sau casare","")))))</f>
        <v/>
      </c>
      <c r="N38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fixe'!$N$5:$N$104&gt;DataInv)&gt;0)),33),0)</f>
        <v>0</v>
      </c>
    </row>
    <row r="39" spans="2:14" x14ac:dyDescent="0.2">
      <c r="B39" s="38" t="str">
        <f>IF($N39=0,"",34)</f>
        <v/>
      </c>
      <c r="C39" s="38" t="str">
        <f>IF($N39=0,"",IF(INDEX('Registru mijloace fixe'!$B$5:$B$104,$N39)="","",INDEX('Registru mijloace fixe'!$B$5:$B$104,$N39)))</f>
        <v/>
      </c>
      <c r="D39" s="39" t="str">
        <f>IF($N39=0,"",IF(INDEX('Registru mijloace fixe'!$C$5:$C$104,$N39)="","",INDEX('Registru mijloace fixe'!$C$5:$C$104,$N39)))</f>
        <v/>
      </c>
      <c r="E39" s="39" t="str">
        <f>IF($N39=0,"",IF(INDEX('Registru mijloace fixe'!$L$5:$L$104,$N39)="","",INDEX('Registru mijloace fixe'!$L$5:$L$104,$N39)))</f>
        <v/>
      </c>
      <c r="F39" s="39" t="str">
        <f>IF($N39=0,"",IF(INDEX('Registru mijloace fixe'!$M$5:$M$104,$N39)="","",INDEX('Registru mijloace fixe'!$M$5:$M$104,$N39)))</f>
        <v/>
      </c>
      <c r="G39" s="41" t="str">
        <f>IF($N39=0,"",IF(INDEX('Registru mijloace fixe'!$I$5:$I$104,$N39)="","",INDEX('Registru mijloace fixe'!$I$5:$I$104,$N39)))</f>
        <v/>
      </c>
      <c r="H39" s="41" t="str">
        <f>IF($N39=0,"",IF(INDEX('Registru mijloace fixe'!$U$5:$U$104,$N39)="","",INDEX('Registru mijloace fixe'!$U$5:$U$104,$N39)))</f>
        <v/>
      </c>
      <c r="I39" s="38" t="str">
        <f>IF($N39=0,"",IF(INDEX('Registru mijloace fixe'!$P$5:$P$104,$N39)="","",INDEX('Registru mijloace fixe'!$P$5:$P$104,$N39)))</f>
        <v/>
      </c>
      <c r="J39" s="38" t="str">
        <f>IF($N39=0,"",IF(INDEX('Registru mijloace fixe'!$Q$5:$Q$104,$N39)="","",INDEX('Registru mijloace fixe'!$Q$5:$Q$104,$N39)))</f>
        <v/>
      </c>
      <c r="K39" s="26" t="str">
        <f t="shared" si="1"/>
        <v/>
      </c>
      <c r="N39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fixe'!$N$5:$N$104&gt;DataInv)&gt;0)),34),0)</f>
        <v>0</v>
      </c>
    </row>
    <row r="40" spans="2:14" x14ac:dyDescent="0.2">
      <c r="B40" s="38" t="str">
        <f>IF($N40=0,"",35)</f>
        <v/>
      </c>
      <c r="C40" s="38" t="str">
        <f>IF($N40=0,"",IF(INDEX('Registru mijloace fixe'!$B$5:$B$104,$N40)="","",INDEX('Registru mijloace fixe'!$B$5:$B$104,$N40)))</f>
        <v/>
      </c>
      <c r="D40" s="39" t="str">
        <f>IF($N40=0,"",IF(INDEX('Registru mijloace fixe'!$C$5:$C$104,$N40)="","",INDEX('Registru mijloace fixe'!$C$5:$C$104,$N40)))</f>
        <v/>
      </c>
      <c r="E40" s="39" t="str">
        <f>IF($N40=0,"",IF(INDEX('Registru mijloace fixe'!$L$5:$L$104,$N40)="","",INDEX('Registru mijloace fixe'!$L$5:$L$104,$N40)))</f>
        <v/>
      </c>
      <c r="F40" s="39" t="str">
        <f>IF($N40=0,"",IF(INDEX('Registru mijloace fixe'!$M$5:$M$104,$N40)="","",INDEX('Registru mijloace fixe'!$M$5:$M$104,$N40)))</f>
        <v/>
      </c>
      <c r="G40" s="41" t="str">
        <f>IF($N40=0,"",IF(INDEX('Registru mijloace fixe'!$I$5:$I$104,$N40)="","",INDEX('Registru mijloace fixe'!$I$5:$I$104,$N40)))</f>
        <v/>
      </c>
      <c r="H40" s="41" t="str">
        <f>IF($N40=0,"",IF(INDEX('Registru mijloace fixe'!$U$5:$U$104,$N40)="","",INDEX('Registru mijloace fixe'!$U$5:$U$104,$N40)))</f>
        <v/>
      </c>
      <c r="I40" s="38" t="str">
        <f>IF($N40=0,"",IF(INDEX('Registru mijloace fixe'!$P$5:$P$104,$N40)="","",INDEX('Registru mijloace fixe'!$P$5:$P$104,$N40)))</f>
        <v/>
      </c>
      <c r="J40" s="38" t="str">
        <f>IF($N40=0,"",IF(INDEX('Registru mijloace fixe'!$Q$5:$Q$104,$N40)="","",INDEX('Registru mijloace fixe'!$Q$5:$Q$104,$N40)))</f>
        <v/>
      </c>
      <c r="K40" s="26" t="str">
        <f t="shared" si="1"/>
        <v/>
      </c>
      <c r="N40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fixe'!$N$5:$N$104&gt;DataInv)&gt;0)),35),0)</f>
        <v>0</v>
      </c>
    </row>
    <row r="41" spans="2:14" x14ac:dyDescent="0.2">
      <c r="B41" s="38" t="str">
        <f>IF($N41=0,"",36)</f>
        <v/>
      </c>
      <c r="C41" s="38" t="str">
        <f>IF($N41=0,"",IF(INDEX('Registru mijloace fixe'!$B$5:$B$104,$N41)="","",INDEX('Registru mijloace fixe'!$B$5:$B$104,$N41)))</f>
        <v/>
      </c>
      <c r="D41" s="39" t="str">
        <f>IF($N41=0,"",IF(INDEX('Registru mijloace fixe'!$C$5:$C$104,$N41)="","",INDEX('Registru mijloace fixe'!$C$5:$C$104,$N41)))</f>
        <v/>
      </c>
      <c r="E41" s="39" t="str">
        <f>IF($N41=0,"",IF(INDEX('Registru mijloace fixe'!$L$5:$L$104,$N41)="","",INDEX('Registru mijloace fixe'!$L$5:$L$104,$N41)))</f>
        <v/>
      </c>
      <c r="F41" s="39" t="str">
        <f>IF($N41=0,"",IF(INDEX('Registru mijloace fixe'!$M$5:$M$104,$N41)="","",INDEX('Registru mijloace fixe'!$M$5:$M$104,$N41)))</f>
        <v/>
      </c>
      <c r="G41" s="41" t="str">
        <f>IF($N41=0,"",IF(INDEX('Registru mijloace fixe'!$I$5:$I$104,$N41)="","",INDEX('Registru mijloace fixe'!$I$5:$I$104,$N41)))</f>
        <v/>
      </c>
      <c r="H41" s="41" t="str">
        <f>IF($N41=0,"",IF(INDEX('Registru mijloace fixe'!$U$5:$U$104,$N41)="","",INDEX('Registru mijloace fixe'!$U$5:$U$104,$N41)))</f>
        <v/>
      </c>
      <c r="I41" s="38" t="str">
        <f>IF($N41=0,"",IF(INDEX('Registru mijloace fixe'!$P$5:$P$104,$N41)="","",INDEX('Registru mijloace fixe'!$P$5:$P$104,$N41)))</f>
        <v/>
      </c>
      <c r="J41" s="38" t="str">
        <f>IF($N41=0,"",IF(INDEX('Registru mijloace fixe'!$Q$5:$Q$104,$N41)="","",INDEX('Registru mijloace fixe'!$Q$5:$Q$104,$N41)))</f>
        <v/>
      </c>
      <c r="K41" s="26" t="str">
        <f t="shared" si="1"/>
        <v/>
      </c>
      <c r="N41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fixe'!$N$5:$N$104&gt;DataInv)&gt;0)),36),0)</f>
        <v>0</v>
      </c>
    </row>
    <row r="42" spans="2:14" x14ac:dyDescent="0.2">
      <c r="B42" s="38" t="str">
        <f>IF($N42=0,"",37)</f>
        <v/>
      </c>
      <c r="C42" s="38" t="str">
        <f>IF($N42=0,"",IF(INDEX('Registru mijloace fixe'!$B$5:$B$104,$N42)="","",INDEX('Registru mijloace fixe'!$B$5:$B$104,$N42)))</f>
        <v/>
      </c>
      <c r="D42" s="39" t="str">
        <f>IF($N42=0,"",IF(INDEX('Registru mijloace fixe'!$C$5:$C$104,$N42)="","",INDEX('Registru mijloace fixe'!$C$5:$C$104,$N42)))</f>
        <v/>
      </c>
      <c r="E42" s="39" t="str">
        <f>IF($N42=0,"",IF(INDEX('Registru mijloace fixe'!$L$5:$L$104,$N42)="","",INDEX('Registru mijloace fixe'!$L$5:$L$104,$N42)))</f>
        <v/>
      </c>
      <c r="F42" s="39" t="str">
        <f>IF($N42=0,"",IF(INDEX('Registru mijloace fixe'!$M$5:$M$104,$N42)="","",INDEX('Registru mijloace fixe'!$M$5:$M$104,$N42)))</f>
        <v/>
      </c>
      <c r="G42" s="41" t="str">
        <f>IF($N42=0,"",IF(INDEX('Registru mijloace fixe'!$I$5:$I$104,$N42)="","",INDEX('Registru mijloace fixe'!$I$5:$I$104,$N42)))</f>
        <v/>
      </c>
      <c r="H42" s="41" t="str">
        <f>IF($N42=0,"",IF(INDEX('Registru mijloace fixe'!$U$5:$U$104,$N42)="","",INDEX('Registru mijloace fixe'!$U$5:$U$104,$N42)))</f>
        <v/>
      </c>
      <c r="I42" s="38" t="str">
        <f>IF($N42=0,"",IF(INDEX('Registru mijloace fixe'!$P$5:$P$104,$N42)="","",INDEX('Registru mijloace fixe'!$P$5:$P$104,$N42)))</f>
        <v/>
      </c>
      <c r="J42" s="38" t="str">
        <f>IF($N42=0,"",IF(INDEX('Registru mijloace fixe'!$Q$5:$Q$104,$N42)="","",INDEX('Registru mijloace fixe'!$Q$5:$Q$104,$N42)))</f>
        <v/>
      </c>
      <c r="K42" s="26" t="str">
        <f t="shared" si="1"/>
        <v/>
      </c>
      <c r="N42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fixe'!$N$5:$N$104&gt;DataInv)&gt;0)),37),0)</f>
        <v>0</v>
      </c>
    </row>
    <row r="43" spans="2:14" x14ac:dyDescent="0.2">
      <c r="B43" s="38" t="str">
        <f>IF($N43=0,"",38)</f>
        <v/>
      </c>
      <c r="C43" s="38" t="str">
        <f>IF($N43=0,"",IF(INDEX('Registru mijloace fixe'!$B$5:$B$104,$N43)="","",INDEX('Registru mijloace fixe'!$B$5:$B$104,$N43)))</f>
        <v/>
      </c>
      <c r="D43" s="39" t="str">
        <f>IF($N43=0,"",IF(INDEX('Registru mijloace fixe'!$C$5:$C$104,$N43)="","",INDEX('Registru mijloace fixe'!$C$5:$C$104,$N43)))</f>
        <v/>
      </c>
      <c r="E43" s="39" t="str">
        <f>IF($N43=0,"",IF(INDEX('Registru mijloace fixe'!$L$5:$L$104,$N43)="","",INDEX('Registru mijloace fixe'!$L$5:$L$104,$N43)))</f>
        <v/>
      </c>
      <c r="F43" s="39" t="str">
        <f>IF($N43=0,"",IF(INDEX('Registru mijloace fixe'!$M$5:$M$104,$N43)="","",INDEX('Registru mijloace fixe'!$M$5:$M$104,$N43)))</f>
        <v/>
      </c>
      <c r="G43" s="41" t="str">
        <f>IF($N43=0,"",IF(INDEX('Registru mijloace fixe'!$I$5:$I$104,$N43)="","",INDEX('Registru mijloace fixe'!$I$5:$I$104,$N43)))</f>
        <v/>
      </c>
      <c r="H43" s="41" t="str">
        <f>IF($N43=0,"",IF(INDEX('Registru mijloace fixe'!$U$5:$U$104,$N43)="","",INDEX('Registru mijloace fixe'!$U$5:$U$104,$N43)))</f>
        <v/>
      </c>
      <c r="I43" s="38" t="str">
        <f>IF($N43=0,"",IF(INDEX('Registru mijloace fixe'!$P$5:$P$104,$N43)="","",INDEX('Registru mijloace fixe'!$P$5:$P$104,$N43)))</f>
        <v/>
      </c>
      <c r="J43" s="38" t="str">
        <f>IF($N43=0,"",IF(INDEX('Registru mijloace fixe'!$Q$5:$Q$104,$N43)="","",INDEX('Registru mijloace fixe'!$Q$5:$Q$104,$N43)))</f>
        <v/>
      </c>
      <c r="K43" s="26" t="str">
        <f t="shared" si="1"/>
        <v/>
      </c>
      <c r="N43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fixe'!$N$5:$N$104&gt;DataInv)&gt;0)),38),0)</f>
        <v>0</v>
      </c>
    </row>
    <row r="44" spans="2:14" x14ac:dyDescent="0.2">
      <c r="B44" s="38" t="str">
        <f>IF($N44=0,"",39)</f>
        <v/>
      </c>
      <c r="C44" s="38" t="str">
        <f>IF($N44=0,"",IF(INDEX('Registru mijloace fixe'!$B$5:$B$104,$N44)="","",INDEX('Registru mijloace fixe'!$B$5:$B$104,$N44)))</f>
        <v/>
      </c>
      <c r="D44" s="39" t="str">
        <f>IF($N44=0,"",IF(INDEX('Registru mijloace fixe'!$C$5:$C$104,$N44)="","",INDEX('Registru mijloace fixe'!$C$5:$C$104,$N44)))</f>
        <v/>
      </c>
      <c r="E44" s="39" t="str">
        <f>IF($N44=0,"",IF(INDEX('Registru mijloace fixe'!$L$5:$L$104,$N44)="","",INDEX('Registru mijloace fixe'!$L$5:$L$104,$N44)))</f>
        <v/>
      </c>
      <c r="F44" s="39" t="str">
        <f>IF($N44=0,"",IF(INDEX('Registru mijloace fixe'!$M$5:$M$104,$N44)="","",INDEX('Registru mijloace fixe'!$M$5:$M$104,$N44)))</f>
        <v/>
      </c>
      <c r="G44" s="41" t="str">
        <f>IF($N44=0,"",IF(INDEX('Registru mijloace fixe'!$I$5:$I$104,$N44)="","",INDEX('Registru mijloace fixe'!$I$5:$I$104,$N44)))</f>
        <v/>
      </c>
      <c r="H44" s="41" t="str">
        <f>IF($N44=0,"",IF(INDEX('Registru mijloace fixe'!$U$5:$U$104,$N44)="","",INDEX('Registru mijloace fixe'!$U$5:$U$104,$N44)))</f>
        <v/>
      </c>
      <c r="I44" s="38" t="str">
        <f>IF($N44=0,"",IF(INDEX('Registru mijloace fixe'!$P$5:$P$104,$N44)="","",INDEX('Registru mijloace fixe'!$P$5:$P$104,$N44)))</f>
        <v/>
      </c>
      <c r="J44" s="38" t="str">
        <f>IF($N44=0,"",IF(INDEX('Registru mijloace fixe'!$Q$5:$Q$104,$N44)="","",INDEX('Registru mijloace fixe'!$Q$5:$Q$104,$N44)))</f>
        <v/>
      </c>
      <c r="K44" s="26" t="str">
        <f t="shared" si="1"/>
        <v/>
      </c>
      <c r="N44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fixe'!$N$5:$N$104&gt;DataInv)&gt;0)),39),0)</f>
        <v>0</v>
      </c>
    </row>
    <row r="45" spans="2:14" x14ac:dyDescent="0.2">
      <c r="B45" s="38" t="str">
        <f>IF($N45=0,"",40)</f>
        <v/>
      </c>
      <c r="C45" s="38" t="str">
        <f>IF($N45=0,"",IF(INDEX('Registru mijloace fixe'!$B$5:$B$104,$N45)="","",INDEX('Registru mijloace fixe'!$B$5:$B$104,$N45)))</f>
        <v/>
      </c>
      <c r="D45" s="39" t="str">
        <f>IF($N45=0,"",IF(INDEX('Registru mijloace fixe'!$C$5:$C$104,$N45)="","",INDEX('Registru mijloace fixe'!$C$5:$C$104,$N45)))</f>
        <v/>
      </c>
      <c r="E45" s="39" t="str">
        <f>IF($N45=0,"",IF(INDEX('Registru mijloace fixe'!$L$5:$L$104,$N45)="","",INDEX('Registru mijloace fixe'!$L$5:$L$104,$N45)))</f>
        <v/>
      </c>
      <c r="F45" s="39" t="str">
        <f>IF($N45=0,"",IF(INDEX('Registru mijloace fixe'!$M$5:$M$104,$N45)="","",INDEX('Registru mijloace fixe'!$M$5:$M$104,$N45)))</f>
        <v/>
      </c>
      <c r="G45" s="41" t="str">
        <f>IF($N45=0,"",IF(INDEX('Registru mijloace fixe'!$I$5:$I$104,$N45)="","",INDEX('Registru mijloace fixe'!$I$5:$I$104,$N45)))</f>
        <v/>
      </c>
      <c r="H45" s="41" t="str">
        <f>IF($N45=0,"",IF(INDEX('Registru mijloace fixe'!$U$5:$U$104,$N45)="","",INDEX('Registru mijloace fixe'!$U$5:$U$104,$N45)))</f>
        <v/>
      </c>
      <c r="I45" s="38" t="str">
        <f>IF($N45=0,"",IF(INDEX('Registru mijloace fixe'!$P$5:$P$104,$N45)="","",INDEX('Registru mijloace fixe'!$P$5:$P$104,$N45)))</f>
        <v/>
      </c>
      <c r="J45" s="38" t="str">
        <f>IF($N45=0,"",IF(INDEX('Registru mijloace fixe'!$Q$5:$Q$104,$N45)="","",INDEX('Registru mijloace fixe'!$Q$5:$Q$104,$N45)))</f>
        <v/>
      </c>
      <c r="K45" s="26" t="str">
        <f t="shared" si="1"/>
        <v/>
      </c>
      <c r="N45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fixe'!$N$5:$N$104&gt;DataInv)&gt;0)),40),0)</f>
        <v>0</v>
      </c>
    </row>
    <row r="46" spans="2:14" x14ac:dyDescent="0.2">
      <c r="B46" s="38" t="str">
        <f>IF($N46=0,"",41)</f>
        <v/>
      </c>
      <c r="C46" s="38" t="str">
        <f>IF($N46=0,"",IF(INDEX('Registru mijloace fixe'!$B$5:$B$104,$N46)="","",INDEX('Registru mijloace fixe'!$B$5:$B$104,$N46)))</f>
        <v/>
      </c>
      <c r="D46" s="39" t="str">
        <f>IF($N46=0,"",IF(INDEX('Registru mijloace fixe'!$C$5:$C$104,$N46)="","",INDEX('Registru mijloace fixe'!$C$5:$C$104,$N46)))</f>
        <v/>
      </c>
      <c r="E46" s="39" t="str">
        <f>IF($N46=0,"",IF(INDEX('Registru mijloace fixe'!$L$5:$L$104,$N46)="","",INDEX('Registru mijloace fixe'!$L$5:$L$104,$N46)))</f>
        <v/>
      </c>
      <c r="F46" s="39" t="str">
        <f>IF($N46=0,"",IF(INDEX('Registru mijloace fixe'!$M$5:$M$104,$N46)="","",INDEX('Registru mijloace fixe'!$M$5:$M$104,$N46)))</f>
        <v/>
      </c>
      <c r="G46" s="41" t="str">
        <f>IF($N46=0,"",IF(INDEX('Registru mijloace fixe'!$I$5:$I$104,$N46)="","",INDEX('Registru mijloace fixe'!$I$5:$I$104,$N46)))</f>
        <v/>
      </c>
      <c r="H46" s="41" t="str">
        <f>IF($N46=0,"",IF(INDEX('Registru mijloace fixe'!$U$5:$U$104,$N46)="","",INDEX('Registru mijloace fixe'!$U$5:$U$104,$N46)))</f>
        <v/>
      </c>
      <c r="I46" s="38" t="str">
        <f>IF($N46=0,"",IF(INDEX('Registru mijloace fixe'!$P$5:$P$104,$N46)="","",INDEX('Registru mijloace fixe'!$P$5:$P$104,$N46)))</f>
        <v/>
      </c>
      <c r="J46" s="38" t="str">
        <f>IF($N46=0,"",IF(INDEX('Registru mijloace fixe'!$Q$5:$Q$104,$N46)="","",INDEX('Registru mijloace fixe'!$Q$5:$Q$104,$N46)))</f>
        <v/>
      </c>
      <c r="K46" s="26" t="str">
        <f t="shared" si="1"/>
        <v/>
      </c>
      <c r="N46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fixe'!$N$5:$N$104&gt;DataInv)&gt;0)),41),0)</f>
        <v>0</v>
      </c>
    </row>
    <row r="47" spans="2:14" x14ac:dyDescent="0.2">
      <c r="B47" s="38" t="str">
        <f>IF($N47=0,"",42)</f>
        <v/>
      </c>
      <c r="C47" s="38" t="str">
        <f>IF($N47=0,"",IF(INDEX('Registru mijloace fixe'!$B$5:$B$104,$N47)="","",INDEX('Registru mijloace fixe'!$B$5:$B$104,$N47)))</f>
        <v/>
      </c>
      <c r="D47" s="39" t="str">
        <f>IF($N47=0,"",IF(INDEX('Registru mijloace fixe'!$C$5:$C$104,$N47)="","",INDEX('Registru mijloace fixe'!$C$5:$C$104,$N47)))</f>
        <v/>
      </c>
      <c r="E47" s="39" t="str">
        <f>IF($N47=0,"",IF(INDEX('Registru mijloace fixe'!$L$5:$L$104,$N47)="","",INDEX('Registru mijloace fixe'!$L$5:$L$104,$N47)))</f>
        <v/>
      </c>
      <c r="F47" s="39" t="str">
        <f>IF($N47=0,"",IF(INDEX('Registru mijloace fixe'!$M$5:$M$104,$N47)="","",INDEX('Registru mijloace fixe'!$M$5:$M$104,$N47)))</f>
        <v/>
      </c>
      <c r="G47" s="41" t="str">
        <f>IF($N47=0,"",IF(INDEX('Registru mijloace fixe'!$I$5:$I$104,$N47)="","",INDEX('Registru mijloace fixe'!$I$5:$I$104,$N47)))</f>
        <v/>
      </c>
      <c r="H47" s="41" t="str">
        <f>IF($N47=0,"",IF(INDEX('Registru mijloace fixe'!$U$5:$U$104,$N47)="","",INDEX('Registru mijloace fixe'!$U$5:$U$104,$N47)))</f>
        <v/>
      </c>
      <c r="I47" s="38" t="str">
        <f>IF($N47=0,"",IF(INDEX('Registru mijloace fixe'!$P$5:$P$104,$N47)="","",INDEX('Registru mijloace fixe'!$P$5:$P$104,$N47)))</f>
        <v/>
      </c>
      <c r="J47" s="38" t="str">
        <f>IF($N47=0,"",IF(INDEX('Registru mijloace fixe'!$Q$5:$Q$104,$N47)="","",INDEX('Registru mijloace fixe'!$Q$5:$Q$104,$N47)))</f>
        <v/>
      </c>
      <c r="K47" s="26" t="str">
        <f t="shared" si="1"/>
        <v/>
      </c>
      <c r="N47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fixe'!$N$5:$N$104&gt;DataInv)&gt;0)),42),0)</f>
        <v>0</v>
      </c>
    </row>
    <row r="48" spans="2:14" x14ac:dyDescent="0.2">
      <c r="B48" s="38" t="str">
        <f>IF($N48=0,"",43)</f>
        <v/>
      </c>
      <c r="C48" s="38" t="str">
        <f>IF($N48=0,"",IF(INDEX('Registru mijloace fixe'!$B$5:$B$104,$N48)="","",INDEX('Registru mijloace fixe'!$B$5:$B$104,$N48)))</f>
        <v/>
      </c>
      <c r="D48" s="39" t="str">
        <f>IF($N48=0,"",IF(INDEX('Registru mijloace fixe'!$C$5:$C$104,$N48)="","",INDEX('Registru mijloace fixe'!$C$5:$C$104,$N48)))</f>
        <v/>
      </c>
      <c r="E48" s="39" t="str">
        <f>IF($N48=0,"",IF(INDEX('Registru mijloace fixe'!$L$5:$L$104,$N48)="","",INDEX('Registru mijloace fixe'!$L$5:$L$104,$N48)))</f>
        <v/>
      </c>
      <c r="F48" s="39" t="str">
        <f>IF($N48=0,"",IF(INDEX('Registru mijloace fixe'!$M$5:$M$104,$N48)="","",INDEX('Registru mijloace fixe'!$M$5:$M$104,$N48)))</f>
        <v/>
      </c>
      <c r="G48" s="41" t="str">
        <f>IF($N48=0,"",IF(INDEX('Registru mijloace fixe'!$I$5:$I$104,$N48)="","",INDEX('Registru mijloace fixe'!$I$5:$I$104,$N48)))</f>
        <v/>
      </c>
      <c r="H48" s="41" t="str">
        <f>IF($N48=0,"",IF(INDEX('Registru mijloace fixe'!$U$5:$U$104,$N48)="","",INDEX('Registru mijloace fixe'!$U$5:$U$104,$N48)))</f>
        <v/>
      </c>
      <c r="I48" s="38" t="str">
        <f>IF($N48=0,"",IF(INDEX('Registru mijloace fixe'!$P$5:$P$104,$N48)="","",INDEX('Registru mijloace fixe'!$P$5:$P$104,$N48)))</f>
        <v/>
      </c>
      <c r="J48" s="38" t="str">
        <f>IF($N48=0,"",IF(INDEX('Registru mijloace fixe'!$Q$5:$Q$104,$N48)="","",INDEX('Registru mijloace fixe'!$Q$5:$Q$104,$N48)))</f>
        <v/>
      </c>
      <c r="K48" s="26" t="str">
        <f t="shared" si="1"/>
        <v/>
      </c>
      <c r="N48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fixe'!$N$5:$N$104&gt;DataInv)&gt;0)),43),0)</f>
        <v>0</v>
      </c>
    </row>
    <row r="49" spans="2:14" x14ac:dyDescent="0.2">
      <c r="B49" s="38" t="str">
        <f>IF($N49=0,"",44)</f>
        <v/>
      </c>
      <c r="C49" s="38" t="str">
        <f>IF($N49=0,"",IF(INDEX('Registru mijloace fixe'!$B$5:$B$104,$N49)="","",INDEX('Registru mijloace fixe'!$B$5:$B$104,$N49)))</f>
        <v/>
      </c>
      <c r="D49" s="39" t="str">
        <f>IF($N49=0,"",IF(INDEX('Registru mijloace fixe'!$C$5:$C$104,$N49)="","",INDEX('Registru mijloace fixe'!$C$5:$C$104,$N49)))</f>
        <v/>
      </c>
      <c r="E49" s="39" t="str">
        <f>IF($N49=0,"",IF(INDEX('Registru mijloace fixe'!$L$5:$L$104,$N49)="","",INDEX('Registru mijloace fixe'!$L$5:$L$104,$N49)))</f>
        <v/>
      </c>
      <c r="F49" s="39" t="str">
        <f>IF($N49=0,"",IF(INDEX('Registru mijloace fixe'!$M$5:$M$104,$N49)="","",INDEX('Registru mijloace fixe'!$M$5:$M$104,$N49)))</f>
        <v/>
      </c>
      <c r="G49" s="41" t="str">
        <f>IF($N49=0,"",IF(INDEX('Registru mijloace fixe'!$I$5:$I$104,$N49)="","",INDEX('Registru mijloace fixe'!$I$5:$I$104,$N49)))</f>
        <v/>
      </c>
      <c r="H49" s="41" t="str">
        <f>IF($N49=0,"",IF(INDEX('Registru mijloace fixe'!$U$5:$U$104,$N49)="","",INDEX('Registru mijloace fixe'!$U$5:$U$104,$N49)))</f>
        <v/>
      </c>
      <c r="I49" s="38" t="str">
        <f>IF($N49=0,"",IF(INDEX('Registru mijloace fixe'!$P$5:$P$104,$N49)="","",INDEX('Registru mijloace fixe'!$P$5:$P$104,$N49)))</f>
        <v/>
      </c>
      <c r="J49" s="38" t="str">
        <f>IF($N49=0,"",IF(INDEX('Registru mijloace fixe'!$Q$5:$Q$104,$N49)="","",INDEX('Registru mijloace fixe'!$Q$5:$Q$104,$N49)))</f>
        <v/>
      </c>
      <c r="K49" s="26" t="str">
        <f t="shared" si="1"/>
        <v/>
      </c>
      <c r="N49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fixe'!$N$5:$N$104&gt;DataInv)&gt;0)),44),0)</f>
        <v>0</v>
      </c>
    </row>
    <row r="50" spans="2:14" x14ac:dyDescent="0.2">
      <c r="B50" s="38" t="str">
        <f>IF($N50=0,"",45)</f>
        <v/>
      </c>
      <c r="C50" s="38" t="str">
        <f>IF($N50=0,"",IF(INDEX('Registru mijloace fixe'!$B$5:$B$104,$N50)="","",INDEX('Registru mijloace fixe'!$B$5:$B$104,$N50)))</f>
        <v/>
      </c>
      <c r="D50" s="39" t="str">
        <f>IF($N50=0,"",IF(INDEX('Registru mijloace fixe'!$C$5:$C$104,$N50)="","",INDEX('Registru mijloace fixe'!$C$5:$C$104,$N50)))</f>
        <v/>
      </c>
      <c r="E50" s="39" t="str">
        <f>IF($N50=0,"",IF(INDEX('Registru mijloace fixe'!$L$5:$L$104,$N50)="","",INDEX('Registru mijloace fixe'!$L$5:$L$104,$N50)))</f>
        <v/>
      </c>
      <c r="F50" s="39" t="str">
        <f>IF($N50=0,"",IF(INDEX('Registru mijloace fixe'!$M$5:$M$104,$N50)="","",INDEX('Registru mijloace fixe'!$M$5:$M$104,$N50)))</f>
        <v/>
      </c>
      <c r="G50" s="41" t="str">
        <f>IF($N50=0,"",IF(INDEX('Registru mijloace fixe'!$I$5:$I$104,$N50)="","",INDEX('Registru mijloace fixe'!$I$5:$I$104,$N50)))</f>
        <v/>
      </c>
      <c r="H50" s="41" t="str">
        <f>IF($N50=0,"",IF(INDEX('Registru mijloace fixe'!$U$5:$U$104,$N50)="","",INDEX('Registru mijloace fixe'!$U$5:$U$104,$N50)))</f>
        <v/>
      </c>
      <c r="I50" s="38" t="str">
        <f>IF($N50=0,"",IF(INDEX('Registru mijloace fixe'!$P$5:$P$104,$N50)="","",INDEX('Registru mijloace fixe'!$P$5:$P$104,$N50)))</f>
        <v/>
      </c>
      <c r="J50" s="38" t="str">
        <f>IF($N50=0,"",IF(INDEX('Registru mijloace fixe'!$Q$5:$Q$104,$N50)="","",INDEX('Registru mijloace fixe'!$Q$5:$Q$104,$N50)))</f>
        <v/>
      </c>
      <c r="K50" s="26" t="str">
        <f t="shared" si="1"/>
        <v/>
      </c>
      <c r="N50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fixe'!$N$5:$N$104&gt;DataInv)&gt;0)),45),0)</f>
        <v>0</v>
      </c>
    </row>
    <row r="51" spans="2:14" x14ac:dyDescent="0.2">
      <c r="B51" s="38" t="str">
        <f>IF($N51=0,"",46)</f>
        <v/>
      </c>
      <c r="C51" s="38" t="str">
        <f>IF($N51=0,"",IF(INDEX('Registru mijloace fixe'!$B$5:$B$104,$N51)="","",INDEX('Registru mijloace fixe'!$B$5:$B$104,$N51)))</f>
        <v/>
      </c>
      <c r="D51" s="39" t="str">
        <f>IF($N51=0,"",IF(INDEX('Registru mijloace fixe'!$C$5:$C$104,$N51)="","",INDEX('Registru mijloace fixe'!$C$5:$C$104,$N51)))</f>
        <v/>
      </c>
      <c r="E51" s="39" t="str">
        <f>IF($N51=0,"",IF(INDEX('Registru mijloace fixe'!$L$5:$L$104,$N51)="","",INDEX('Registru mijloace fixe'!$L$5:$L$104,$N51)))</f>
        <v/>
      </c>
      <c r="F51" s="39" t="str">
        <f>IF($N51=0,"",IF(INDEX('Registru mijloace fixe'!$M$5:$M$104,$N51)="","",INDEX('Registru mijloace fixe'!$M$5:$M$104,$N51)))</f>
        <v/>
      </c>
      <c r="G51" s="41" t="str">
        <f>IF($N51=0,"",IF(INDEX('Registru mijloace fixe'!$I$5:$I$104,$N51)="","",INDEX('Registru mijloace fixe'!$I$5:$I$104,$N51)))</f>
        <v/>
      </c>
      <c r="H51" s="41" t="str">
        <f>IF($N51=0,"",IF(INDEX('Registru mijloace fixe'!$U$5:$U$104,$N51)="","",INDEX('Registru mijloace fixe'!$U$5:$U$104,$N51)))</f>
        <v/>
      </c>
      <c r="I51" s="38" t="str">
        <f>IF($N51=0,"",IF(INDEX('Registru mijloace fixe'!$P$5:$P$104,$N51)="","",INDEX('Registru mijloace fixe'!$P$5:$P$104,$N51)))</f>
        <v/>
      </c>
      <c r="J51" s="38" t="str">
        <f>IF($N51=0,"",IF(INDEX('Registru mijloace fixe'!$Q$5:$Q$104,$N51)="","",INDEX('Registru mijloace fixe'!$Q$5:$Q$104,$N51)))</f>
        <v/>
      </c>
      <c r="K51" s="26" t="str">
        <f t="shared" si="1"/>
        <v/>
      </c>
      <c r="N51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fixe'!$N$5:$N$104&gt;DataInv)&gt;0)),46),0)</f>
        <v>0</v>
      </c>
    </row>
    <row r="52" spans="2:14" x14ac:dyDescent="0.2">
      <c r="B52" s="38" t="str">
        <f>IF($N52=0,"",47)</f>
        <v/>
      </c>
      <c r="C52" s="38" t="str">
        <f>IF($N52=0,"",IF(INDEX('Registru mijloace fixe'!$B$5:$B$104,$N52)="","",INDEX('Registru mijloace fixe'!$B$5:$B$104,$N52)))</f>
        <v/>
      </c>
      <c r="D52" s="39" t="str">
        <f>IF($N52=0,"",IF(INDEX('Registru mijloace fixe'!$C$5:$C$104,$N52)="","",INDEX('Registru mijloace fixe'!$C$5:$C$104,$N52)))</f>
        <v/>
      </c>
      <c r="E52" s="39" t="str">
        <f>IF($N52=0,"",IF(INDEX('Registru mijloace fixe'!$L$5:$L$104,$N52)="","",INDEX('Registru mijloace fixe'!$L$5:$L$104,$N52)))</f>
        <v/>
      </c>
      <c r="F52" s="39" t="str">
        <f>IF($N52=0,"",IF(INDEX('Registru mijloace fixe'!$M$5:$M$104,$N52)="","",INDEX('Registru mijloace fixe'!$M$5:$M$104,$N52)))</f>
        <v/>
      </c>
      <c r="G52" s="41" t="str">
        <f>IF($N52=0,"",IF(INDEX('Registru mijloace fixe'!$I$5:$I$104,$N52)="","",INDEX('Registru mijloace fixe'!$I$5:$I$104,$N52)))</f>
        <v/>
      </c>
      <c r="H52" s="41" t="str">
        <f>IF($N52=0,"",IF(INDEX('Registru mijloace fixe'!$U$5:$U$104,$N52)="","",INDEX('Registru mijloace fixe'!$U$5:$U$104,$N52)))</f>
        <v/>
      </c>
      <c r="I52" s="38" t="str">
        <f>IF($N52=0,"",IF(INDEX('Registru mijloace fixe'!$P$5:$P$104,$N52)="","",INDEX('Registru mijloace fixe'!$P$5:$P$104,$N52)))</f>
        <v/>
      </c>
      <c r="J52" s="38" t="str">
        <f>IF($N52=0,"",IF(INDEX('Registru mijloace fixe'!$Q$5:$Q$104,$N52)="","",INDEX('Registru mijloace fixe'!$Q$5:$Q$104,$N52)))</f>
        <v/>
      </c>
      <c r="K52" s="26" t="str">
        <f t="shared" si="1"/>
        <v/>
      </c>
      <c r="N52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fixe'!$N$5:$N$104&gt;DataInv)&gt;0)),47),0)</f>
        <v>0</v>
      </c>
    </row>
    <row r="53" spans="2:14" x14ac:dyDescent="0.2">
      <c r="B53" s="38" t="str">
        <f>IF($N53=0,"",48)</f>
        <v/>
      </c>
      <c r="C53" s="38" t="str">
        <f>IF($N53=0,"",IF(INDEX('Registru mijloace fixe'!$B$5:$B$104,$N53)="","",INDEX('Registru mijloace fixe'!$B$5:$B$104,$N53)))</f>
        <v/>
      </c>
      <c r="D53" s="39" t="str">
        <f>IF($N53=0,"",IF(INDEX('Registru mijloace fixe'!$C$5:$C$104,$N53)="","",INDEX('Registru mijloace fixe'!$C$5:$C$104,$N53)))</f>
        <v/>
      </c>
      <c r="E53" s="39" t="str">
        <f>IF($N53=0,"",IF(INDEX('Registru mijloace fixe'!$L$5:$L$104,$N53)="","",INDEX('Registru mijloace fixe'!$L$5:$L$104,$N53)))</f>
        <v/>
      </c>
      <c r="F53" s="39" t="str">
        <f>IF($N53=0,"",IF(INDEX('Registru mijloace fixe'!$M$5:$M$104,$N53)="","",INDEX('Registru mijloace fixe'!$M$5:$M$104,$N53)))</f>
        <v/>
      </c>
      <c r="G53" s="41" t="str">
        <f>IF($N53=0,"",IF(INDEX('Registru mijloace fixe'!$I$5:$I$104,$N53)="","",INDEX('Registru mijloace fixe'!$I$5:$I$104,$N53)))</f>
        <v/>
      </c>
      <c r="H53" s="41" t="str">
        <f>IF($N53=0,"",IF(INDEX('Registru mijloace fixe'!$U$5:$U$104,$N53)="","",INDEX('Registru mijloace fixe'!$U$5:$U$104,$N53)))</f>
        <v/>
      </c>
      <c r="I53" s="38" t="str">
        <f>IF($N53=0,"",IF(INDEX('Registru mijloace fixe'!$P$5:$P$104,$N53)="","",INDEX('Registru mijloace fixe'!$P$5:$P$104,$N53)))</f>
        <v/>
      </c>
      <c r="J53" s="38" t="str">
        <f>IF($N53=0,"",IF(INDEX('Registru mijloace fixe'!$Q$5:$Q$104,$N53)="","",INDEX('Registru mijloace fixe'!$Q$5:$Q$104,$N53)))</f>
        <v/>
      </c>
      <c r="K53" s="26" t="str">
        <f t="shared" si="1"/>
        <v/>
      </c>
      <c r="N53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fixe'!$N$5:$N$104&gt;DataInv)&gt;0)),48),0)</f>
        <v>0</v>
      </c>
    </row>
    <row r="54" spans="2:14" x14ac:dyDescent="0.2">
      <c r="B54" s="38" t="str">
        <f>IF($N54=0,"",49)</f>
        <v/>
      </c>
      <c r="C54" s="38" t="str">
        <f>IF($N54=0,"",IF(INDEX('Registru mijloace fixe'!$B$5:$B$104,$N54)="","",INDEX('Registru mijloace fixe'!$B$5:$B$104,$N54)))</f>
        <v/>
      </c>
      <c r="D54" s="39" t="str">
        <f>IF($N54=0,"",IF(INDEX('Registru mijloace fixe'!$C$5:$C$104,$N54)="","",INDEX('Registru mijloace fixe'!$C$5:$C$104,$N54)))</f>
        <v/>
      </c>
      <c r="E54" s="39" t="str">
        <f>IF($N54=0,"",IF(INDEX('Registru mijloace fixe'!$L$5:$L$104,$N54)="","",INDEX('Registru mijloace fixe'!$L$5:$L$104,$N54)))</f>
        <v/>
      </c>
      <c r="F54" s="39" t="str">
        <f>IF($N54=0,"",IF(INDEX('Registru mijloace fixe'!$M$5:$M$104,$N54)="","",INDEX('Registru mijloace fixe'!$M$5:$M$104,$N54)))</f>
        <v/>
      </c>
      <c r="G54" s="41" t="str">
        <f>IF($N54=0,"",IF(INDEX('Registru mijloace fixe'!$I$5:$I$104,$N54)="","",INDEX('Registru mijloace fixe'!$I$5:$I$104,$N54)))</f>
        <v/>
      </c>
      <c r="H54" s="41" t="str">
        <f>IF($N54=0,"",IF(INDEX('Registru mijloace fixe'!$U$5:$U$104,$N54)="","",INDEX('Registru mijloace fixe'!$U$5:$U$104,$N54)))</f>
        <v/>
      </c>
      <c r="I54" s="38" t="str">
        <f>IF($N54=0,"",IF(INDEX('Registru mijloace fixe'!$P$5:$P$104,$N54)="","",INDEX('Registru mijloace fixe'!$P$5:$P$104,$N54)))</f>
        <v/>
      </c>
      <c r="J54" s="38" t="str">
        <f>IF($N54=0,"",IF(INDEX('Registru mijloace fixe'!$Q$5:$Q$104,$N54)="","",INDEX('Registru mijloace fixe'!$Q$5:$Q$104,$N54)))</f>
        <v/>
      </c>
      <c r="K54" s="26" t="str">
        <f t="shared" si="1"/>
        <v/>
      </c>
      <c r="N54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fixe'!$N$5:$N$104&gt;DataInv)&gt;0)),49),0)</f>
        <v>0</v>
      </c>
    </row>
    <row r="55" spans="2:14" x14ac:dyDescent="0.2">
      <c r="B55" s="38" t="str">
        <f>IF($N55=0,"",50)</f>
        <v/>
      </c>
      <c r="C55" s="38" t="str">
        <f>IF($N55=0,"",IF(INDEX('Registru mijloace fixe'!$B$5:$B$104,$N55)="","",INDEX('Registru mijloace fixe'!$B$5:$B$104,$N55)))</f>
        <v/>
      </c>
      <c r="D55" s="39" t="str">
        <f>IF($N55=0,"",IF(INDEX('Registru mijloace fixe'!$C$5:$C$104,$N55)="","",INDEX('Registru mijloace fixe'!$C$5:$C$104,$N55)))</f>
        <v/>
      </c>
      <c r="E55" s="39" t="str">
        <f>IF($N55=0,"",IF(INDEX('Registru mijloace fixe'!$L$5:$L$104,$N55)="","",INDEX('Registru mijloace fixe'!$L$5:$L$104,$N55)))</f>
        <v/>
      </c>
      <c r="F55" s="39" t="str">
        <f>IF($N55=0,"",IF(INDEX('Registru mijloace fixe'!$M$5:$M$104,$N55)="","",INDEX('Registru mijloace fixe'!$M$5:$M$104,$N55)))</f>
        <v/>
      </c>
      <c r="G55" s="41" t="str">
        <f>IF($N55=0,"",IF(INDEX('Registru mijloace fixe'!$I$5:$I$104,$N55)="","",INDEX('Registru mijloace fixe'!$I$5:$I$104,$N55)))</f>
        <v/>
      </c>
      <c r="H55" s="41" t="str">
        <f>IF($N55=0,"",IF(INDEX('Registru mijloace fixe'!$U$5:$U$104,$N55)="","",INDEX('Registru mijloace fixe'!$U$5:$U$104,$N55)))</f>
        <v/>
      </c>
      <c r="I55" s="38" t="str">
        <f>IF($N55=0,"",IF(INDEX('Registru mijloace fixe'!$P$5:$P$104,$N55)="","",INDEX('Registru mijloace fixe'!$P$5:$P$104,$N55)))</f>
        <v/>
      </c>
      <c r="J55" s="38" t="str">
        <f>IF($N55=0,"",IF(INDEX('Registru mijloace fixe'!$Q$5:$Q$104,$N55)="","",INDEX('Registru mijloace fixe'!$Q$5:$Q$104,$N55)))</f>
        <v/>
      </c>
      <c r="K55" s="26" t="str">
        <f t="shared" si="1"/>
        <v/>
      </c>
      <c r="N55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fixe'!$N$5:$N$104&gt;DataInv)&gt;0)),50),0)</f>
        <v>0</v>
      </c>
    </row>
    <row r="56" spans="2:14" x14ac:dyDescent="0.2">
      <c r="B56" s="38" t="str">
        <f>IF($N56=0,"",51)</f>
        <v/>
      </c>
      <c r="C56" s="38" t="str">
        <f>IF($N56=0,"",IF(INDEX('Registru mijloace fixe'!$B$5:$B$104,$N56)="","",INDEX('Registru mijloace fixe'!$B$5:$B$104,$N56)))</f>
        <v/>
      </c>
      <c r="D56" s="39" t="str">
        <f>IF($N56=0,"",IF(INDEX('Registru mijloace fixe'!$C$5:$C$104,$N56)="","",INDEX('Registru mijloace fixe'!$C$5:$C$104,$N56)))</f>
        <v/>
      </c>
      <c r="E56" s="39" t="str">
        <f>IF($N56=0,"",IF(INDEX('Registru mijloace fixe'!$L$5:$L$104,$N56)="","",INDEX('Registru mijloace fixe'!$L$5:$L$104,$N56)))</f>
        <v/>
      </c>
      <c r="F56" s="39" t="str">
        <f>IF($N56=0,"",IF(INDEX('Registru mijloace fixe'!$M$5:$M$104,$N56)="","",INDEX('Registru mijloace fixe'!$M$5:$M$104,$N56)))</f>
        <v/>
      </c>
      <c r="G56" s="41" t="str">
        <f>IF($N56=0,"",IF(INDEX('Registru mijloace fixe'!$I$5:$I$104,$N56)="","",INDEX('Registru mijloace fixe'!$I$5:$I$104,$N56)))</f>
        <v/>
      </c>
      <c r="H56" s="41" t="str">
        <f>IF($N56=0,"",IF(INDEX('Registru mijloace fixe'!$U$5:$U$104,$N56)="","",INDEX('Registru mijloace fixe'!$U$5:$U$104,$N56)))</f>
        <v/>
      </c>
      <c r="I56" s="38" t="str">
        <f>IF($N56=0,"",IF(INDEX('Registru mijloace fixe'!$P$5:$P$104,$N56)="","",INDEX('Registru mijloace fixe'!$P$5:$P$104,$N56)))</f>
        <v/>
      </c>
      <c r="J56" s="38" t="str">
        <f>IF($N56=0,"",IF(INDEX('Registru mijloace fixe'!$Q$5:$Q$104,$N56)="","",INDEX('Registru mijloace fixe'!$Q$5:$Q$104,$N56)))</f>
        <v/>
      </c>
      <c r="K56" s="26" t="str">
        <f t="shared" si="1"/>
        <v/>
      </c>
      <c r="N56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fixe'!$N$5:$N$104&gt;DataInv)&gt;0)),51),0)</f>
        <v>0</v>
      </c>
    </row>
    <row r="57" spans="2:14" x14ac:dyDescent="0.2">
      <c r="B57" s="38" t="str">
        <f>IF($N57=0,"",52)</f>
        <v/>
      </c>
      <c r="C57" s="38" t="str">
        <f>IF($N57=0,"",IF(INDEX('Registru mijloace fixe'!$B$5:$B$104,$N57)="","",INDEX('Registru mijloace fixe'!$B$5:$B$104,$N57)))</f>
        <v/>
      </c>
      <c r="D57" s="39" t="str">
        <f>IF($N57=0,"",IF(INDEX('Registru mijloace fixe'!$C$5:$C$104,$N57)="","",INDEX('Registru mijloace fixe'!$C$5:$C$104,$N57)))</f>
        <v/>
      </c>
      <c r="E57" s="39" t="str">
        <f>IF($N57=0,"",IF(INDEX('Registru mijloace fixe'!$L$5:$L$104,$N57)="","",INDEX('Registru mijloace fixe'!$L$5:$L$104,$N57)))</f>
        <v/>
      </c>
      <c r="F57" s="39" t="str">
        <f>IF($N57=0,"",IF(INDEX('Registru mijloace fixe'!$M$5:$M$104,$N57)="","",INDEX('Registru mijloace fixe'!$M$5:$M$104,$N57)))</f>
        <v/>
      </c>
      <c r="G57" s="41" t="str">
        <f>IF($N57=0,"",IF(INDEX('Registru mijloace fixe'!$I$5:$I$104,$N57)="","",INDEX('Registru mijloace fixe'!$I$5:$I$104,$N57)))</f>
        <v/>
      </c>
      <c r="H57" s="41" t="str">
        <f>IF($N57=0,"",IF(INDEX('Registru mijloace fixe'!$U$5:$U$104,$N57)="","",INDEX('Registru mijloace fixe'!$U$5:$U$104,$N57)))</f>
        <v/>
      </c>
      <c r="I57" s="38" t="str">
        <f>IF($N57=0,"",IF(INDEX('Registru mijloace fixe'!$P$5:$P$104,$N57)="","",INDEX('Registru mijloace fixe'!$P$5:$P$104,$N57)))</f>
        <v/>
      </c>
      <c r="J57" s="38" t="str">
        <f>IF($N57=0,"",IF(INDEX('Registru mijloace fixe'!$Q$5:$Q$104,$N57)="","",INDEX('Registru mijloace fixe'!$Q$5:$Q$104,$N57)))</f>
        <v/>
      </c>
      <c r="K57" s="26" t="str">
        <f t="shared" si="1"/>
        <v/>
      </c>
      <c r="N57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fixe'!$N$5:$N$104&gt;DataInv)&gt;0)),52),0)</f>
        <v>0</v>
      </c>
    </row>
    <row r="58" spans="2:14" x14ac:dyDescent="0.2">
      <c r="B58" s="38" t="str">
        <f>IF($N58=0,"",53)</f>
        <v/>
      </c>
      <c r="C58" s="38" t="str">
        <f>IF($N58=0,"",IF(INDEX('Registru mijloace fixe'!$B$5:$B$104,$N58)="","",INDEX('Registru mijloace fixe'!$B$5:$B$104,$N58)))</f>
        <v/>
      </c>
      <c r="D58" s="39" t="str">
        <f>IF($N58=0,"",IF(INDEX('Registru mijloace fixe'!$C$5:$C$104,$N58)="","",INDEX('Registru mijloace fixe'!$C$5:$C$104,$N58)))</f>
        <v/>
      </c>
      <c r="E58" s="39" t="str">
        <f>IF($N58=0,"",IF(INDEX('Registru mijloace fixe'!$L$5:$L$104,$N58)="","",INDEX('Registru mijloace fixe'!$L$5:$L$104,$N58)))</f>
        <v/>
      </c>
      <c r="F58" s="39" t="str">
        <f>IF($N58=0,"",IF(INDEX('Registru mijloace fixe'!$M$5:$M$104,$N58)="","",INDEX('Registru mijloace fixe'!$M$5:$M$104,$N58)))</f>
        <v/>
      </c>
      <c r="G58" s="41" t="str">
        <f>IF($N58=0,"",IF(INDEX('Registru mijloace fixe'!$I$5:$I$104,$N58)="","",INDEX('Registru mijloace fixe'!$I$5:$I$104,$N58)))</f>
        <v/>
      </c>
      <c r="H58" s="41" t="str">
        <f>IF($N58=0,"",IF(INDEX('Registru mijloace fixe'!$U$5:$U$104,$N58)="","",INDEX('Registru mijloace fixe'!$U$5:$U$104,$N58)))</f>
        <v/>
      </c>
      <c r="I58" s="38" t="str">
        <f>IF($N58=0,"",IF(INDEX('Registru mijloace fixe'!$P$5:$P$104,$N58)="","",INDEX('Registru mijloace fixe'!$P$5:$P$104,$N58)))</f>
        <v/>
      </c>
      <c r="J58" s="38" t="str">
        <f>IF($N58=0,"",IF(INDEX('Registru mijloace fixe'!$Q$5:$Q$104,$N58)="","",INDEX('Registru mijloace fixe'!$Q$5:$Q$104,$N58)))</f>
        <v/>
      </c>
      <c r="K58" s="26" t="str">
        <f t="shared" si="1"/>
        <v/>
      </c>
      <c r="N58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fixe'!$N$5:$N$104&gt;DataInv)&gt;0)),53),0)</f>
        <v>0</v>
      </c>
    </row>
    <row r="59" spans="2:14" x14ac:dyDescent="0.2">
      <c r="B59" s="38" t="str">
        <f>IF($N59=0,"",54)</f>
        <v/>
      </c>
      <c r="C59" s="38" t="str">
        <f>IF($N59=0,"",IF(INDEX('Registru mijloace fixe'!$B$5:$B$104,$N59)="","",INDEX('Registru mijloace fixe'!$B$5:$B$104,$N59)))</f>
        <v/>
      </c>
      <c r="D59" s="39" t="str">
        <f>IF($N59=0,"",IF(INDEX('Registru mijloace fixe'!$C$5:$C$104,$N59)="","",INDEX('Registru mijloace fixe'!$C$5:$C$104,$N59)))</f>
        <v/>
      </c>
      <c r="E59" s="39" t="str">
        <f>IF($N59=0,"",IF(INDEX('Registru mijloace fixe'!$L$5:$L$104,$N59)="","",INDEX('Registru mijloace fixe'!$L$5:$L$104,$N59)))</f>
        <v/>
      </c>
      <c r="F59" s="39" t="str">
        <f>IF($N59=0,"",IF(INDEX('Registru mijloace fixe'!$M$5:$M$104,$N59)="","",INDEX('Registru mijloace fixe'!$M$5:$M$104,$N59)))</f>
        <v/>
      </c>
      <c r="G59" s="41" t="str">
        <f>IF($N59=0,"",IF(INDEX('Registru mijloace fixe'!$I$5:$I$104,$N59)="","",INDEX('Registru mijloace fixe'!$I$5:$I$104,$N59)))</f>
        <v/>
      </c>
      <c r="H59" s="41" t="str">
        <f>IF($N59=0,"",IF(INDEX('Registru mijloace fixe'!$U$5:$U$104,$N59)="","",INDEX('Registru mijloace fixe'!$U$5:$U$104,$N59)))</f>
        <v/>
      </c>
      <c r="I59" s="38" t="str">
        <f>IF($N59=0,"",IF(INDEX('Registru mijloace fixe'!$P$5:$P$104,$N59)="","",INDEX('Registru mijloace fixe'!$P$5:$P$104,$N59)))</f>
        <v/>
      </c>
      <c r="J59" s="38" t="str">
        <f>IF($N59=0,"",IF(INDEX('Registru mijloace fixe'!$Q$5:$Q$104,$N59)="","",INDEX('Registru mijloace fixe'!$Q$5:$Q$104,$N59)))</f>
        <v/>
      </c>
      <c r="K59" s="26" t="str">
        <f t="shared" si="1"/>
        <v/>
      </c>
      <c r="N59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fixe'!$N$5:$N$104&gt;DataInv)&gt;0)),54),0)</f>
        <v>0</v>
      </c>
    </row>
    <row r="60" spans="2:14" x14ac:dyDescent="0.2">
      <c r="B60" s="38" t="str">
        <f>IF($N60=0,"",55)</f>
        <v/>
      </c>
      <c r="C60" s="38" t="str">
        <f>IF($N60=0,"",IF(INDEX('Registru mijloace fixe'!$B$5:$B$104,$N60)="","",INDEX('Registru mijloace fixe'!$B$5:$B$104,$N60)))</f>
        <v/>
      </c>
      <c r="D60" s="39" t="str">
        <f>IF($N60=0,"",IF(INDEX('Registru mijloace fixe'!$C$5:$C$104,$N60)="","",INDEX('Registru mijloace fixe'!$C$5:$C$104,$N60)))</f>
        <v/>
      </c>
      <c r="E60" s="39" t="str">
        <f>IF($N60=0,"",IF(INDEX('Registru mijloace fixe'!$L$5:$L$104,$N60)="","",INDEX('Registru mijloace fixe'!$L$5:$L$104,$N60)))</f>
        <v/>
      </c>
      <c r="F60" s="39" t="str">
        <f>IF($N60=0,"",IF(INDEX('Registru mijloace fixe'!$M$5:$M$104,$N60)="","",INDEX('Registru mijloace fixe'!$M$5:$M$104,$N60)))</f>
        <v/>
      </c>
      <c r="G60" s="41" t="str">
        <f>IF($N60=0,"",IF(INDEX('Registru mijloace fixe'!$I$5:$I$104,$N60)="","",INDEX('Registru mijloace fixe'!$I$5:$I$104,$N60)))</f>
        <v/>
      </c>
      <c r="H60" s="41" t="str">
        <f>IF($N60=0,"",IF(INDEX('Registru mijloace fixe'!$U$5:$U$104,$N60)="","",INDEX('Registru mijloace fixe'!$U$5:$U$104,$N60)))</f>
        <v/>
      </c>
      <c r="I60" s="38" t="str">
        <f>IF($N60=0,"",IF(INDEX('Registru mijloace fixe'!$P$5:$P$104,$N60)="","",INDEX('Registru mijloace fixe'!$P$5:$P$104,$N60)))</f>
        <v/>
      </c>
      <c r="J60" s="38" t="str">
        <f>IF($N60=0,"",IF(INDEX('Registru mijloace fixe'!$Q$5:$Q$104,$N60)="","",INDEX('Registru mijloace fixe'!$Q$5:$Q$104,$N60)))</f>
        <v/>
      </c>
      <c r="K60" s="26" t="str">
        <f t="shared" si="1"/>
        <v/>
      </c>
      <c r="N60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fixe'!$N$5:$N$104&gt;DataInv)&gt;0)),55),0)</f>
        <v>0</v>
      </c>
    </row>
    <row r="61" spans="2:14" x14ac:dyDescent="0.2">
      <c r="B61" s="38" t="str">
        <f>IF($N61=0,"",56)</f>
        <v/>
      </c>
      <c r="C61" s="38" t="str">
        <f>IF($N61=0,"",IF(INDEX('Registru mijloace fixe'!$B$5:$B$104,$N61)="","",INDEX('Registru mijloace fixe'!$B$5:$B$104,$N61)))</f>
        <v/>
      </c>
      <c r="D61" s="39" t="str">
        <f>IF($N61=0,"",IF(INDEX('Registru mijloace fixe'!$C$5:$C$104,$N61)="","",INDEX('Registru mijloace fixe'!$C$5:$C$104,$N61)))</f>
        <v/>
      </c>
      <c r="E61" s="39" t="str">
        <f>IF($N61=0,"",IF(INDEX('Registru mijloace fixe'!$L$5:$L$104,$N61)="","",INDEX('Registru mijloace fixe'!$L$5:$L$104,$N61)))</f>
        <v/>
      </c>
      <c r="F61" s="39" t="str">
        <f>IF($N61=0,"",IF(INDEX('Registru mijloace fixe'!$M$5:$M$104,$N61)="","",INDEX('Registru mijloace fixe'!$M$5:$M$104,$N61)))</f>
        <v/>
      </c>
      <c r="G61" s="41" t="str">
        <f>IF($N61=0,"",IF(INDEX('Registru mijloace fixe'!$I$5:$I$104,$N61)="","",INDEX('Registru mijloace fixe'!$I$5:$I$104,$N61)))</f>
        <v/>
      </c>
      <c r="H61" s="41" t="str">
        <f>IF($N61=0,"",IF(INDEX('Registru mijloace fixe'!$U$5:$U$104,$N61)="","",INDEX('Registru mijloace fixe'!$U$5:$U$104,$N61)))</f>
        <v/>
      </c>
      <c r="I61" s="38" t="str">
        <f>IF($N61=0,"",IF(INDEX('Registru mijloace fixe'!$P$5:$P$104,$N61)="","",INDEX('Registru mijloace fixe'!$P$5:$P$104,$N61)))</f>
        <v/>
      </c>
      <c r="J61" s="38" t="str">
        <f>IF($N61=0,"",IF(INDEX('Registru mijloace fixe'!$Q$5:$Q$104,$N61)="","",INDEX('Registru mijloace fixe'!$Q$5:$Q$104,$N61)))</f>
        <v/>
      </c>
      <c r="K61" s="26" t="str">
        <f t="shared" si="1"/>
        <v/>
      </c>
      <c r="N61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fixe'!$N$5:$N$104&gt;DataInv)&gt;0)),56),0)</f>
        <v>0</v>
      </c>
    </row>
    <row r="62" spans="2:14" x14ac:dyDescent="0.2">
      <c r="B62" s="38" t="str">
        <f>IF($N62=0,"",57)</f>
        <v/>
      </c>
      <c r="C62" s="38" t="str">
        <f>IF($N62=0,"",IF(INDEX('Registru mijloace fixe'!$B$5:$B$104,$N62)="","",INDEX('Registru mijloace fixe'!$B$5:$B$104,$N62)))</f>
        <v/>
      </c>
      <c r="D62" s="39" t="str">
        <f>IF($N62=0,"",IF(INDEX('Registru mijloace fixe'!$C$5:$C$104,$N62)="","",INDEX('Registru mijloace fixe'!$C$5:$C$104,$N62)))</f>
        <v/>
      </c>
      <c r="E62" s="39" t="str">
        <f>IF($N62=0,"",IF(INDEX('Registru mijloace fixe'!$L$5:$L$104,$N62)="","",INDEX('Registru mijloace fixe'!$L$5:$L$104,$N62)))</f>
        <v/>
      </c>
      <c r="F62" s="39" t="str">
        <f>IF($N62=0,"",IF(INDEX('Registru mijloace fixe'!$M$5:$M$104,$N62)="","",INDEX('Registru mijloace fixe'!$M$5:$M$104,$N62)))</f>
        <v/>
      </c>
      <c r="G62" s="41" t="str">
        <f>IF($N62=0,"",IF(INDEX('Registru mijloace fixe'!$I$5:$I$104,$N62)="","",INDEX('Registru mijloace fixe'!$I$5:$I$104,$N62)))</f>
        <v/>
      </c>
      <c r="H62" s="41" t="str">
        <f>IF($N62=0,"",IF(INDEX('Registru mijloace fixe'!$U$5:$U$104,$N62)="","",INDEX('Registru mijloace fixe'!$U$5:$U$104,$N62)))</f>
        <v/>
      </c>
      <c r="I62" s="38" t="str">
        <f>IF($N62=0,"",IF(INDEX('Registru mijloace fixe'!$P$5:$P$104,$N62)="","",INDEX('Registru mijloace fixe'!$P$5:$P$104,$N62)))</f>
        <v/>
      </c>
      <c r="J62" s="38" t="str">
        <f>IF($N62=0,"",IF(INDEX('Registru mijloace fixe'!$Q$5:$Q$104,$N62)="","",INDEX('Registru mijloace fixe'!$Q$5:$Q$104,$N62)))</f>
        <v/>
      </c>
      <c r="K62" s="26" t="str">
        <f t="shared" si="1"/>
        <v/>
      </c>
      <c r="N62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fixe'!$N$5:$N$104&gt;DataInv)&gt;0)),57),0)</f>
        <v>0</v>
      </c>
    </row>
    <row r="63" spans="2:14" x14ac:dyDescent="0.2">
      <c r="B63" s="38" t="str">
        <f>IF($N63=0,"",58)</f>
        <v/>
      </c>
      <c r="C63" s="38" t="str">
        <f>IF($N63=0,"",IF(INDEX('Registru mijloace fixe'!$B$5:$B$104,$N63)="","",INDEX('Registru mijloace fixe'!$B$5:$B$104,$N63)))</f>
        <v/>
      </c>
      <c r="D63" s="39" t="str">
        <f>IF($N63=0,"",IF(INDEX('Registru mijloace fixe'!$C$5:$C$104,$N63)="","",INDEX('Registru mijloace fixe'!$C$5:$C$104,$N63)))</f>
        <v/>
      </c>
      <c r="E63" s="39" t="str">
        <f>IF($N63=0,"",IF(INDEX('Registru mijloace fixe'!$L$5:$L$104,$N63)="","",INDEX('Registru mijloace fixe'!$L$5:$L$104,$N63)))</f>
        <v/>
      </c>
      <c r="F63" s="39" t="str">
        <f>IF($N63=0,"",IF(INDEX('Registru mijloace fixe'!$M$5:$M$104,$N63)="","",INDEX('Registru mijloace fixe'!$M$5:$M$104,$N63)))</f>
        <v/>
      </c>
      <c r="G63" s="41" t="str">
        <f>IF($N63=0,"",IF(INDEX('Registru mijloace fixe'!$I$5:$I$104,$N63)="","",INDEX('Registru mijloace fixe'!$I$5:$I$104,$N63)))</f>
        <v/>
      </c>
      <c r="H63" s="41" t="str">
        <f>IF($N63=0,"",IF(INDEX('Registru mijloace fixe'!$U$5:$U$104,$N63)="","",INDEX('Registru mijloace fixe'!$U$5:$U$104,$N63)))</f>
        <v/>
      </c>
      <c r="I63" s="38" t="str">
        <f>IF($N63=0,"",IF(INDEX('Registru mijloace fixe'!$P$5:$P$104,$N63)="","",INDEX('Registru mijloace fixe'!$P$5:$P$104,$N63)))</f>
        <v/>
      </c>
      <c r="J63" s="38" t="str">
        <f>IF($N63=0,"",IF(INDEX('Registru mijloace fixe'!$Q$5:$Q$104,$N63)="","",INDEX('Registru mijloace fixe'!$Q$5:$Q$104,$N63)))</f>
        <v/>
      </c>
      <c r="K63" s="26" t="str">
        <f t="shared" si="1"/>
        <v/>
      </c>
      <c r="N63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fixe'!$N$5:$N$104&gt;DataInv)&gt;0)),58),0)</f>
        <v>0</v>
      </c>
    </row>
    <row r="64" spans="2:14" x14ac:dyDescent="0.2">
      <c r="B64" s="38" t="str">
        <f>IF($N64=0,"",59)</f>
        <v/>
      </c>
      <c r="C64" s="38" t="str">
        <f>IF($N64=0,"",IF(INDEX('Registru mijloace fixe'!$B$5:$B$104,$N64)="","",INDEX('Registru mijloace fixe'!$B$5:$B$104,$N64)))</f>
        <v/>
      </c>
      <c r="D64" s="39" t="str">
        <f>IF($N64=0,"",IF(INDEX('Registru mijloace fixe'!$C$5:$C$104,$N64)="","",INDEX('Registru mijloace fixe'!$C$5:$C$104,$N64)))</f>
        <v/>
      </c>
      <c r="E64" s="39" t="str">
        <f>IF($N64=0,"",IF(INDEX('Registru mijloace fixe'!$L$5:$L$104,$N64)="","",INDEX('Registru mijloace fixe'!$L$5:$L$104,$N64)))</f>
        <v/>
      </c>
      <c r="F64" s="39" t="str">
        <f>IF($N64=0,"",IF(INDEX('Registru mijloace fixe'!$M$5:$M$104,$N64)="","",INDEX('Registru mijloace fixe'!$M$5:$M$104,$N64)))</f>
        <v/>
      </c>
      <c r="G64" s="41" t="str">
        <f>IF($N64=0,"",IF(INDEX('Registru mijloace fixe'!$I$5:$I$104,$N64)="","",INDEX('Registru mijloace fixe'!$I$5:$I$104,$N64)))</f>
        <v/>
      </c>
      <c r="H64" s="41" t="str">
        <f>IF($N64=0,"",IF(INDEX('Registru mijloace fixe'!$U$5:$U$104,$N64)="","",INDEX('Registru mijloace fixe'!$U$5:$U$104,$N64)))</f>
        <v/>
      </c>
      <c r="I64" s="38" t="str">
        <f>IF($N64=0,"",IF(INDEX('Registru mijloace fixe'!$P$5:$P$104,$N64)="","",INDEX('Registru mijloace fixe'!$P$5:$P$104,$N64)))</f>
        <v/>
      </c>
      <c r="J64" s="38" t="str">
        <f>IF($N64=0,"",IF(INDEX('Registru mijloace fixe'!$Q$5:$Q$104,$N64)="","",INDEX('Registru mijloace fixe'!$Q$5:$Q$104,$N64)))</f>
        <v/>
      </c>
      <c r="K64" s="26" t="str">
        <f t="shared" si="1"/>
        <v/>
      </c>
      <c r="N64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fixe'!$N$5:$N$104&gt;DataInv)&gt;0)),59),0)</f>
        <v>0</v>
      </c>
    </row>
    <row r="65" spans="2:14" x14ac:dyDescent="0.2">
      <c r="B65" s="38" t="str">
        <f>IF($N65=0,"",60)</f>
        <v/>
      </c>
      <c r="C65" s="38" t="str">
        <f>IF($N65=0,"",IF(INDEX('Registru mijloace fixe'!$B$5:$B$104,$N65)="","",INDEX('Registru mijloace fixe'!$B$5:$B$104,$N65)))</f>
        <v/>
      </c>
      <c r="D65" s="39" t="str">
        <f>IF($N65=0,"",IF(INDEX('Registru mijloace fixe'!$C$5:$C$104,$N65)="","",INDEX('Registru mijloace fixe'!$C$5:$C$104,$N65)))</f>
        <v/>
      </c>
      <c r="E65" s="39" t="str">
        <f>IF($N65=0,"",IF(INDEX('Registru mijloace fixe'!$L$5:$L$104,$N65)="","",INDEX('Registru mijloace fixe'!$L$5:$L$104,$N65)))</f>
        <v/>
      </c>
      <c r="F65" s="39" t="str">
        <f>IF($N65=0,"",IF(INDEX('Registru mijloace fixe'!$M$5:$M$104,$N65)="","",INDEX('Registru mijloace fixe'!$M$5:$M$104,$N65)))</f>
        <v/>
      </c>
      <c r="G65" s="41" t="str">
        <f>IF($N65=0,"",IF(INDEX('Registru mijloace fixe'!$I$5:$I$104,$N65)="","",INDEX('Registru mijloace fixe'!$I$5:$I$104,$N65)))</f>
        <v/>
      </c>
      <c r="H65" s="41" t="str">
        <f>IF($N65=0,"",IF(INDEX('Registru mijloace fixe'!$U$5:$U$104,$N65)="","",INDEX('Registru mijloace fixe'!$U$5:$U$104,$N65)))</f>
        <v/>
      </c>
      <c r="I65" s="38" t="str">
        <f>IF($N65=0,"",IF(INDEX('Registru mijloace fixe'!$P$5:$P$104,$N65)="","",INDEX('Registru mijloace fixe'!$P$5:$P$104,$N65)))</f>
        <v/>
      </c>
      <c r="J65" s="38" t="str">
        <f>IF($N65=0,"",IF(INDEX('Registru mijloace fixe'!$Q$5:$Q$104,$N65)="","",INDEX('Registru mijloace fixe'!$Q$5:$Q$104,$N65)))</f>
        <v/>
      </c>
      <c r="K65" s="26" t="str">
        <f t="shared" si="1"/>
        <v/>
      </c>
      <c r="N65" s="30">
        <f>IFERROR(_xlfn.AGGREGATE(15,6,(ROW('Registru mijloace fixe'!$B$5:$B$104)-4)/(('Registru mijloace fixe'!$B$5:$B$104&lt;&gt;"")*ISNUMBER('Registru mijloace fixe'!$H$5:$H$104)*('Registru mijloace fixe'!$H$5:$H$104&lt;=DataInv)*(NOT(ISNUMBER('Registru mijloace fixe'!$N$5:$N$104))+('Registru mijloace fixe'!$N$5:$N$104&gt;DataInv)&gt;0)),60),0)</f>
        <v>0</v>
      </c>
    </row>
  </sheetData>
  <conditionalFormatting sqref="I6:I65">
    <cfRule type="cellIs" dxfId="0" priority="1" stopIfTrue="1" operator="equal">
      <formula>"Nu"</formula>
    </cfRule>
  </conditionalFormatting>
  <pageMargins left="0.7" right="0.7" top="0.75" bottom="0.75" header="0.3" footer="0.3"/>
  <pageSetup scale="61" fitToHeight="0" orientation="landscape" r:id="rId1"/>
  <headerFooter>
    <oddFooter>&amp;Cmodelexcel.ro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35A6-CD4D-483B-8F58-8D21891D089D}">
  <dimension ref="B1:L27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4.7109375" style="1" customWidth="1"/>
    <col min="3" max="3" width="16.7109375" style="1" customWidth="1"/>
    <col min="4" max="4" width="13.7109375" style="1" customWidth="1"/>
    <col min="5" max="6" width="11.7109375" style="1" customWidth="1"/>
    <col min="7" max="7" width="13.7109375" style="1" customWidth="1"/>
    <col min="8" max="8" width="3.7109375" style="1" customWidth="1"/>
    <col min="9" max="9" width="22.7109375" style="1" customWidth="1"/>
    <col min="10" max="10" width="17.7109375" style="1" customWidth="1"/>
    <col min="11" max="11" width="16.7109375" style="1" customWidth="1"/>
    <col min="12" max="12" width="8.7109375" style="1" customWidth="1"/>
    <col min="13" max="16384" width="11.42578125" style="1"/>
  </cols>
  <sheetData>
    <row r="1" spans="2:12" ht="21" x14ac:dyDescent="0.35">
      <c r="B1" s="2" t="s">
        <v>0</v>
      </c>
    </row>
    <row r="2" spans="2:12" x14ac:dyDescent="0.2">
      <c r="B2" s="3" t="s">
        <v>1</v>
      </c>
    </row>
    <row r="4" spans="2:12" x14ac:dyDescent="0.2">
      <c r="B4" s="5" t="s">
        <v>2</v>
      </c>
      <c r="C4" s="6" t="s">
        <v>3</v>
      </c>
      <c r="I4" s="12" t="s">
        <v>27</v>
      </c>
      <c r="J4" s="12" t="s">
        <v>29</v>
      </c>
      <c r="K4" s="12" t="s">
        <v>34</v>
      </c>
      <c r="L4" s="12" t="s">
        <v>39</v>
      </c>
    </row>
    <row r="5" spans="2:12" x14ac:dyDescent="0.2">
      <c r="B5" s="5" t="s">
        <v>4</v>
      </c>
      <c r="C5" s="6" t="s">
        <v>5</v>
      </c>
      <c r="I5" s="15" t="s">
        <v>28</v>
      </c>
      <c r="J5" s="15" t="s">
        <v>30</v>
      </c>
      <c r="K5" s="15" t="s">
        <v>35</v>
      </c>
      <c r="L5" s="15" t="s">
        <v>21</v>
      </c>
    </row>
    <row r="6" spans="2:12" x14ac:dyDescent="0.2">
      <c r="B6" s="5" t="s">
        <v>6</v>
      </c>
      <c r="C6" s="6">
        <v>2026</v>
      </c>
      <c r="I6" s="15" t="s">
        <v>15</v>
      </c>
      <c r="J6" s="15" t="s">
        <v>31</v>
      </c>
      <c r="K6" s="15" t="s">
        <v>36</v>
      </c>
      <c r="L6" s="15" t="s">
        <v>19</v>
      </c>
    </row>
    <row r="7" spans="2:12" x14ac:dyDescent="0.2">
      <c r="B7" s="5" t="s">
        <v>7</v>
      </c>
      <c r="C7" s="6">
        <v>10</v>
      </c>
      <c r="I7" s="15" t="s">
        <v>16</v>
      </c>
      <c r="J7" s="15" t="s">
        <v>32</v>
      </c>
      <c r="K7" s="15" t="s">
        <v>37</v>
      </c>
    </row>
    <row r="8" spans="2:12" x14ac:dyDescent="0.2">
      <c r="B8" s="5" t="s">
        <v>8</v>
      </c>
      <c r="C8" s="7">
        <v>5000</v>
      </c>
      <c r="I8" s="15" t="s">
        <v>17</v>
      </c>
      <c r="J8" s="15" t="s">
        <v>33</v>
      </c>
      <c r="K8" s="15" t="s">
        <v>38</v>
      </c>
    </row>
    <row r="9" spans="2:12" x14ac:dyDescent="0.2">
      <c r="B9" s="5" t="s">
        <v>9</v>
      </c>
      <c r="C9" s="8">
        <f>DATE(2026,10,31)</f>
        <v>46326</v>
      </c>
    </row>
    <row r="10" spans="2:12" x14ac:dyDescent="0.2">
      <c r="B10" s="9" t="s">
        <v>10</v>
      </c>
      <c r="C10" s="10">
        <f>DATE(AnCalc,LunaCalc,1)</f>
        <v>46296</v>
      </c>
    </row>
    <row r="11" spans="2:12" x14ac:dyDescent="0.2">
      <c r="B11" s="11" t="s">
        <v>11</v>
      </c>
    </row>
    <row r="12" spans="2:12" ht="30" customHeight="1" x14ac:dyDescent="0.2">
      <c r="B12" s="12" t="s">
        <v>12</v>
      </c>
      <c r="C12" s="12" t="s">
        <v>13</v>
      </c>
      <c r="D12" s="12" t="s">
        <v>14</v>
      </c>
      <c r="E12" s="12" t="s">
        <v>15</v>
      </c>
      <c r="F12" s="12" t="s">
        <v>16</v>
      </c>
      <c r="G12" s="12" t="s">
        <v>17</v>
      </c>
    </row>
    <row r="13" spans="2:12" x14ac:dyDescent="0.2">
      <c r="B13" s="13" t="s">
        <v>18</v>
      </c>
      <c r="C13" s="14">
        <v>212</v>
      </c>
      <c r="D13" s="14">
        <v>2812</v>
      </c>
      <c r="E13" s="14" t="s">
        <v>19</v>
      </c>
      <c r="F13" s="14" t="s">
        <v>19</v>
      </c>
      <c r="G13" s="14" t="s">
        <v>19</v>
      </c>
    </row>
    <row r="14" spans="2:12" x14ac:dyDescent="0.2">
      <c r="B14" s="13" t="s">
        <v>20</v>
      </c>
      <c r="C14" s="14">
        <v>2131</v>
      </c>
      <c r="D14" s="14">
        <v>2813</v>
      </c>
      <c r="E14" s="14" t="s">
        <v>21</v>
      </c>
      <c r="F14" s="14" t="s">
        <v>21</v>
      </c>
      <c r="G14" s="14" t="s">
        <v>21</v>
      </c>
    </row>
    <row r="15" spans="2:12" x14ac:dyDescent="0.2">
      <c r="B15" s="13" t="s">
        <v>22</v>
      </c>
      <c r="C15" s="14">
        <v>2131</v>
      </c>
      <c r="D15" s="14">
        <v>2813</v>
      </c>
      <c r="E15" s="14" t="s">
        <v>21</v>
      </c>
      <c r="F15" s="14" t="s">
        <v>19</v>
      </c>
      <c r="G15" s="14" t="s">
        <v>19</v>
      </c>
    </row>
    <row r="16" spans="2:12" x14ac:dyDescent="0.2">
      <c r="B16" s="13" t="s">
        <v>23</v>
      </c>
      <c r="C16" s="14">
        <v>2131</v>
      </c>
      <c r="D16" s="14">
        <v>2813</v>
      </c>
      <c r="E16" s="14" t="s">
        <v>21</v>
      </c>
      <c r="F16" s="14" t="s">
        <v>21</v>
      </c>
      <c r="G16" s="14" t="s">
        <v>19</v>
      </c>
    </row>
    <row r="17" spans="2:7" x14ac:dyDescent="0.2">
      <c r="B17" s="13" t="s">
        <v>24</v>
      </c>
      <c r="C17" s="14">
        <v>2133</v>
      </c>
      <c r="D17" s="14">
        <v>2813</v>
      </c>
      <c r="E17" s="14" t="s">
        <v>21</v>
      </c>
      <c r="F17" s="14" t="s">
        <v>19</v>
      </c>
      <c r="G17" s="14" t="s">
        <v>19</v>
      </c>
    </row>
    <row r="18" spans="2:7" x14ac:dyDescent="0.2">
      <c r="B18" s="13" t="s">
        <v>25</v>
      </c>
      <c r="C18" s="14">
        <v>214</v>
      </c>
      <c r="D18" s="14">
        <v>2814</v>
      </c>
      <c r="E18" s="14" t="s">
        <v>21</v>
      </c>
      <c r="F18" s="14" t="s">
        <v>19</v>
      </c>
      <c r="G18" s="14" t="s">
        <v>19</v>
      </c>
    </row>
    <row r="19" spans="2:7" x14ac:dyDescent="0.2">
      <c r="B19" s="13"/>
      <c r="C19" s="14"/>
      <c r="D19" s="14"/>
      <c r="E19" s="14"/>
      <c r="F19" s="14"/>
      <c r="G19" s="14"/>
    </row>
    <row r="20" spans="2:7" x14ac:dyDescent="0.2">
      <c r="B20" s="13"/>
      <c r="C20" s="14"/>
      <c r="D20" s="14"/>
      <c r="E20" s="14"/>
      <c r="F20" s="14"/>
      <c r="G20" s="14"/>
    </row>
    <row r="21" spans="2:7" x14ac:dyDescent="0.2">
      <c r="B21" s="13"/>
      <c r="C21" s="14"/>
      <c r="D21" s="14"/>
      <c r="E21" s="14"/>
      <c r="F21" s="14"/>
      <c r="G21" s="14"/>
    </row>
    <row r="22" spans="2:7" x14ac:dyDescent="0.2">
      <c r="B22" s="13"/>
      <c r="C22" s="14"/>
      <c r="D22" s="14"/>
      <c r="E22" s="14"/>
      <c r="F22" s="14"/>
      <c r="G22" s="14"/>
    </row>
    <row r="23" spans="2:7" x14ac:dyDescent="0.2">
      <c r="B23" s="3" t="s">
        <v>26</v>
      </c>
    </row>
    <row r="25" spans="2:7" x14ac:dyDescent="0.2">
      <c r="B25" s="52" t="s">
        <v>214</v>
      </c>
    </row>
    <row r="26" spans="2:7" x14ac:dyDescent="0.2">
      <c r="B26" s="53" t="s">
        <v>215</v>
      </c>
    </row>
    <row r="27" spans="2:7" x14ac:dyDescent="0.2">
      <c r="B27" s="54" t="s">
        <v>216</v>
      </c>
    </row>
  </sheetData>
  <hyperlinks>
    <hyperlink ref="B27" r:id="rId1" tooltip="Instrucțiuni și alte modele gratuite" xr:uid="{04FE06E6-C620-492E-A58C-70A3C2B2C97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2330D-C3CC-498D-83E8-C0F618EF7706}">
  <sheetPr>
    <tabColor rgb="FFBFBFBF"/>
  </sheetPr>
  <dimension ref="B1:BT104"/>
  <sheetViews>
    <sheetView showGridLines="0" workbookViewId="0"/>
  </sheetViews>
  <sheetFormatPr baseColWidth="10" defaultRowHeight="12.75" x14ac:dyDescent="0.2"/>
  <cols>
    <col min="1" max="16384" width="11.42578125" style="1"/>
  </cols>
  <sheetData>
    <row r="1" spans="2:72" ht="21" x14ac:dyDescent="0.35">
      <c r="B1" s="2" t="s">
        <v>108</v>
      </c>
    </row>
    <row r="2" spans="2:72" x14ac:dyDescent="0.2">
      <c r="B2" s="3" t="s">
        <v>109</v>
      </c>
    </row>
    <row r="4" spans="2:72" x14ac:dyDescent="0.2">
      <c r="B4" s="28" t="s">
        <v>110</v>
      </c>
      <c r="C4" s="28" t="s">
        <v>111</v>
      </c>
      <c r="D4" s="28" t="s">
        <v>27</v>
      </c>
      <c r="E4" s="28" t="s">
        <v>112</v>
      </c>
      <c r="F4" s="28" t="s">
        <v>113</v>
      </c>
      <c r="G4" s="28" t="s">
        <v>114</v>
      </c>
      <c r="H4" s="28" t="s">
        <v>115</v>
      </c>
      <c r="I4" s="28" t="s">
        <v>116</v>
      </c>
      <c r="J4" s="28" t="s">
        <v>117</v>
      </c>
      <c r="K4" s="28" t="s">
        <v>118</v>
      </c>
      <c r="L4" s="28" t="s">
        <v>119</v>
      </c>
      <c r="M4" s="28" t="s">
        <v>120</v>
      </c>
      <c r="N4" s="28" t="s">
        <v>121</v>
      </c>
      <c r="O4" s="28" t="s">
        <v>122</v>
      </c>
      <c r="P4" s="28" t="s">
        <v>123</v>
      </c>
      <c r="Q4" s="28" t="s">
        <v>124</v>
      </c>
      <c r="R4" s="28" t="s">
        <v>125</v>
      </c>
      <c r="S4" s="28" t="s">
        <v>126</v>
      </c>
      <c r="T4" s="28" t="s">
        <v>127</v>
      </c>
      <c r="U4" s="28" t="s">
        <v>128</v>
      </c>
      <c r="V4" s="28" t="s">
        <v>129</v>
      </c>
      <c r="W4" s="28" t="s">
        <v>130</v>
      </c>
      <c r="X4" s="28" t="s">
        <v>131</v>
      </c>
      <c r="Y4" s="28" t="s">
        <v>132</v>
      </c>
      <c r="Z4" s="28" t="s">
        <v>133</v>
      </c>
      <c r="AA4" s="28" t="s">
        <v>134</v>
      </c>
      <c r="AB4" s="28" t="s">
        <v>135</v>
      </c>
      <c r="AC4" s="28" t="s">
        <v>136</v>
      </c>
      <c r="AD4" s="28" t="s">
        <v>137</v>
      </c>
      <c r="AE4" s="28" t="s">
        <v>138</v>
      </c>
      <c r="AF4" s="28" t="s">
        <v>139</v>
      </c>
      <c r="AG4" s="28" t="s">
        <v>140</v>
      </c>
      <c r="AH4" s="28" t="s">
        <v>141</v>
      </c>
      <c r="AI4" s="28" t="s">
        <v>142</v>
      </c>
      <c r="AJ4" s="28" t="s">
        <v>143</v>
      </c>
      <c r="AK4" s="28"/>
      <c r="AL4" s="28"/>
      <c r="AM4" s="28" t="s">
        <v>177</v>
      </c>
      <c r="AN4" s="28" t="s">
        <v>144</v>
      </c>
      <c r="AO4" s="28" t="s">
        <v>145</v>
      </c>
      <c r="AP4" s="28" t="s">
        <v>146</v>
      </c>
      <c r="AQ4" s="28" t="s">
        <v>147</v>
      </c>
      <c r="AR4" s="28" t="s">
        <v>148</v>
      </c>
      <c r="AS4" s="28" t="s">
        <v>149</v>
      </c>
      <c r="AT4" s="28" t="s">
        <v>150</v>
      </c>
      <c r="AU4" s="28" t="s">
        <v>151</v>
      </c>
      <c r="AV4" s="28" t="s">
        <v>152</v>
      </c>
      <c r="AW4" s="28" t="s">
        <v>153</v>
      </c>
      <c r="AX4" s="28" t="s">
        <v>154</v>
      </c>
      <c r="AY4" s="28" t="s">
        <v>155</v>
      </c>
      <c r="AZ4" s="28" t="s">
        <v>156</v>
      </c>
      <c r="BA4" s="28" t="s">
        <v>157</v>
      </c>
      <c r="BB4" s="28" t="s">
        <v>158</v>
      </c>
      <c r="BC4" s="28" t="s">
        <v>159</v>
      </c>
      <c r="BD4" s="28" t="s">
        <v>160</v>
      </c>
      <c r="BE4" s="28" t="s">
        <v>161</v>
      </c>
      <c r="BF4" s="28" t="s">
        <v>162</v>
      </c>
      <c r="BG4" s="28" t="s">
        <v>163</v>
      </c>
      <c r="BH4" s="28" t="s">
        <v>164</v>
      </c>
      <c r="BI4" s="28" t="s">
        <v>165</v>
      </c>
      <c r="BJ4" s="28" t="s">
        <v>166</v>
      </c>
      <c r="BK4" s="28" t="s">
        <v>167</v>
      </c>
      <c r="BL4" s="28" t="s">
        <v>168</v>
      </c>
      <c r="BM4" s="28" t="s">
        <v>169</v>
      </c>
      <c r="BN4" s="28" t="s">
        <v>170</v>
      </c>
      <c r="BO4" s="28" t="s">
        <v>171</v>
      </c>
      <c r="BP4" s="28" t="s">
        <v>172</v>
      </c>
      <c r="BQ4" s="28" t="s">
        <v>173</v>
      </c>
      <c r="BR4" s="28" t="s">
        <v>174</v>
      </c>
      <c r="BS4" s="28" t="s">
        <v>175</v>
      </c>
      <c r="BT4" s="28" t="s">
        <v>176</v>
      </c>
    </row>
    <row r="5" spans="2:72" x14ac:dyDescent="0.2">
      <c r="B5" s="16">
        <f>N('Registru mijloace fixe'!$I5)</f>
        <v>450000</v>
      </c>
      <c r="C5" s="27">
        <f>N('Registru mijloace fixe'!$J5)</f>
        <v>40</v>
      </c>
      <c r="D5" s="16" t="str">
        <f>'Registru mijloace fixe'!$K5&amp;""</f>
        <v>Liniară</v>
      </c>
      <c r="E5" s="16">
        <f t="shared" ref="E5:E36" si="0">IF(C5&lt;=5,1.5,IF(C5&lt;=10,2,2.5))</f>
        <v>2.5</v>
      </c>
      <c r="F5" s="16">
        <f t="shared" ref="F5:F36" si="1">IF(D5="Superaccelerată (2026)",0.65,0.5)</f>
        <v>0.5</v>
      </c>
      <c r="G5" s="16">
        <f t="shared" ref="G5:G36" si="2">IF(OR($B5&lt;=0,$C5&lt;1),0,IF($B5&lt;0.005,0,IF(($C5-1+1)&lt;=1,$B5,IF($D5="Degresivă",MIN($B5,MAX($B5*$E5/$C5,$B5/($C5-1+1))),IF(OR($D5="Accelerată",$D5="Superaccelerată (2026)"),IF(1=1,$B5*$F5,$B5/($C5-1+1)),MIN($B5/$C5,$B5))))))</f>
        <v>11250</v>
      </c>
      <c r="H5" s="16">
        <f t="shared" ref="H5:H36" si="3">IF(OR($B5&lt;=0,$C5&lt;2),0,IF(($B5-AQ5)&lt;0.005,0,IF(($C5-2+1)&lt;=1,($B5-AQ5),IF($D5="Degresivă",MIN(($B5-AQ5),MAX(($B5-AQ5)*$E5/$C5,($B5-AQ5)/($C5-2+1))),IF(OR($D5="Accelerată",$D5="Superaccelerată (2026)"),IF(2=1,$B5*$F5,($B5-AQ5)/($C5-2+1)),MIN($B5/$C5,($B5-AQ5)))))))</f>
        <v>11250</v>
      </c>
      <c r="I5" s="16">
        <f t="shared" ref="I5:I36" si="4">IF(OR($B5&lt;=0,$C5&lt;3),0,IF(($B5-AR5)&lt;0.005,0,IF(($C5-3+1)&lt;=1,($B5-AR5),IF($D5="Degresivă",MIN(($B5-AR5),MAX(($B5-AR5)*$E5/$C5,($B5-AR5)/($C5-3+1))),IF(OR($D5="Accelerată",$D5="Superaccelerată (2026)"),IF(3=1,$B5*$F5,($B5-AR5)/($C5-3+1)),MIN($B5/$C5,($B5-AR5)))))))</f>
        <v>11250</v>
      </c>
      <c r="J5" s="16">
        <f t="shared" ref="J5:J36" si="5">IF(OR($B5&lt;=0,$C5&lt;4),0,IF(($B5-AS5)&lt;0.005,0,IF(($C5-4+1)&lt;=1,($B5-AS5),IF($D5="Degresivă",MIN(($B5-AS5),MAX(($B5-AS5)*$E5/$C5,($B5-AS5)/($C5-4+1))),IF(OR($D5="Accelerată",$D5="Superaccelerată (2026)"),IF(4=1,$B5*$F5,($B5-AS5)/($C5-4+1)),MIN($B5/$C5,($B5-AS5)))))))</f>
        <v>11250</v>
      </c>
      <c r="K5" s="16">
        <f t="shared" ref="K5:K36" si="6">IF(OR($B5&lt;=0,$C5&lt;5),0,IF(($B5-AT5)&lt;0.005,0,IF(($C5-5+1)&lt;=1,($B5-AT5),IF($D5="Degresivă",MIN(($B5-AT5),MAX(($B5-AT5)*$E5/$C5,($B5-AT5)/($C5-5+1))),IF(OR($D5="Accelerată",$D5="Superaccelerată (2026)"),IF(5=1,$B5*$F5,($B5-AT5)/($C5-5+1)),MIN($B5/$C5,($B5-AT5)))))))</f>
        <v>11250</v>
      </c>
      <c r="L5" s="16">
        <f t="shared" ref="L5:L36" si="7">IF(OR($B5&lt;=0,$C5&lt;6),0,IF(($B5-AU5)&lt;0.005,0,IF(($C5-6+1)&lt;=1,($B5-AU5),IF($D5="Degresivă",MIN(($B5-AU5),MAX(($B5-AU5)*$E5/$C5,($B5-AU5)/($C5-6+1))),IF(OR($D5="Accelerată",$D5="Superaccelerată (2026)"),IF(6=1,$B5*$F5,($B5-AU5)/($C5-6+1)),MIN($B5/$C5,($B5-AU5)))))))</f>
        <v>11250</v>
      </c>
      <c r="M5" s="16">
        <f t="shared" ref="M5:M36" si="8">IF(OR($B5&lt;=0,$C5&lt;7),0,IF(($B5-AV5)&lt;0.005,0,IF(($C5-7+1)&lt;=1,($B5-AV5),IF($D5="Degresivă",MIN(($B5-AV5),MAX(($B5-AV5)*$E5/$C5,($B5-AV5)/($C5-7+1))),IF(OR($D5="Accelerată",$D5="Superaccelerată (2026)"),IF(7=1,$B5*$F5,($B5-AV5)/($C5-7+1)),MIN($B5/$C5,($B5-AV5)))))))</f>
        <v>11250</v>
      </c>
      <c r="N5" s="16">
        <f t="shared" ref="N5:N36" si="9">IF(OR($B5&lt;=0,$C5&lt;8),0,IF(($B5-AW5)&lt;0.005,0,IF(($C5-8+1)&lt;=1,($B5-AW5),IF($D5="Degresivă",MIN(($B5-AW5),MAX(($B5-AW5)*$E5/$C5,($B5-AW5)/($C5-8+1))),IF(OR($D5="Accelerată",$D5="Superaccelerată (2026)"),IF(8=1,$B5*$F5,($B5-AW5)/($C5-8+1)),MIN($B5/$C5,($B5-AW5)))))))</f>
        <v>11250</v>
      </c>
      <c r="O5" s="16">
        <f t="shared" ref="O5:O36" si="10">IF(OR($B5&lt;=0,$C5&lt;9),0,IF(($B5-AX5)&lt;0.005,0,IF(($C5-9+1)&lt;=1,($B5-AX5),IF($D5="Degresivă",MIN(($B5-AX5),MAX(($B5-AX5)*$E5/$C5,($B5-AX5)/($C5-9+1))),IF(OR($D5="Accelerată",$D5="Superaccelerată (2026)"),IF(9=1,$B5*$F5,($B5-AX5)/($C5-9+1)),MIN($B5/$C5,($B5-AX5)))))))</f>
        <v>11250</v>
      </c>
      <c r="P5" s="16">
        <f t="shared" ref="P5:P36" si="11">IF(OR($B5&lt;=0,$C5&lt;10),0,IF(($B5-AY5)&lt;0.005,0,IF(($C5-10+1)&lt;=1,($B5-AY5),IF($D5="Degresivă",MIN(($B5-AY5),MAX(($B5-AY5)*$E5/$C5,($B5-AY5)/($C5-10+1))),IF(OR($D5="Accelerată",$D5="Superaccelerată (2026)"),IF(10=1,$B5*$F5,($B5-AY5)/($C5-10+1)),MIN($B5/$C5,($B5-AY5)))))))</f>
        <v>11250</v>
      </c>
      <c r="Q5" s="16">
        <f t="shared" ref="Q5:Q36" si="12">IF(OR($B5&lt;=0,$C5&lt;11),0,IF(($B5-AZ5)&lt;0.005,0,IF(($C5-11+1)&lt;=1,($B5-AZ5),IF($D5="Degresivă",MIN(($B5-AZ5),MAX(($B5-AZ5)*$E5/$C5,($B5-AZ5)/($C5-11+1))),IF(OR($D5="Accelerată",$D5="Superaccelerată (2026)"),IF(11=1,$B5*$F5,($B5-AZ5)/($C5-11+1)),MIN($B5/$C5,($B5-AZ5)))))))</f>
        <v>11250</v>
      </c>
      <c r="R5" s="16">
        <f t="shared" ref="R5:R36" si="13">IF(OR($B5&lt;=0,$C5&lt;12),0,IF(($B5-BA5)&lt;0.005,0,IF(($C5-12+1)&lt;=1,($B5-BA5),IF($D5="Degresivă",MIN(($B5-BA5),MAX(($B5-BA5)*$E5/$C5,($B5-BA5)/($C5-12+1))),IF(OR($D5="Accelerată",$D5="Superaccelerată (2026)"),IF(12=1,$B5*$F5,($B5-BA5)/($C5-12+1)),MIN($B5/$C5,($B5-BA5)))))))</f>
        <v>11250</v>
      </c>
      <c r="S5" s="16">
        <f t="shared" ref="S5:S36" si="14">IF(OR($B5&lt;=0,$C5&lt;13),0,IF(($B5-BB5)&lt;0.005,0,IF(($C5-13+1)&lt;=1,($B5-BB5),IF($D5="Degresivă",MIN(($B5-BB5),MAX(($B5-BB5)*$E5/$C5,($B5-BB5)/($C5-13+1))),IF(OR($D5="Accelerată",$D5="Superaccelerată (2026)"),IF(13=1,$B5*$F5,($B5-BB5)/($C5-13+1)),MIN($B5/$C5,($B5-BB5)))))))</f>
        <v>11250</v>
      </c>
      <c r="T5" s="16">
        <f t="shared" ref="T5:T36" si="15">IF(OR($B5&lt;=0,$C5&lt;14),0,IF(($B5-BC5)&lt;0.005,0,IF(($C5-14+1)&lt;=1,($B5-BC5),IF($D5="Degresivă",MIN(($B5-BC5),MAX(($B5-BC5)*$E5/$C5,($B5-BC5)/($C5-14+1))),IF(OR($D5="Accelerată",$D5="Superaccelerată (2026)"),IF(14=1,$B5*$F5,($B5-BC5)/($C5-14+1)),MIN($B5/$C5,($B5-BC5)))))))</f>
        <v>11250</v>
      </c>
      <c r="U5" s="16">
        <f t="shared" ref="U5:U36" si="16">IF(OR($B5&lt;=0,$C5&lt;15),0,IF(($B5-BD5)&lt;0.005,0,IF(($C5-15+1)&lt;=1,($B5-BD5),IF($D5="Degresivă",MIN(($B5-BD5),MAX(($B5-BD5)*$E5/$C5,($B5-BD5)/($C5-15+1))),IF(OR($D5="Accelerată",$D5="Superaccelerată (2026)"),IF(15=1,$B5*$F5,($B5-BD5)/($C5-15+1)),MIN($B5/$C5,($B5-BD5)))))))</f>
        <v>11250</v>
      </c>
      <c r="V5" s="16">
        <f t="shared" ref="V5:V36" si="17">IF(OR($B5&lt;=0,$C5&lt;16),0,IF(($B5-BE5)&lt;0.005,0,IF(($C5-16+1)&lt;=1,($B5-BE5),IF($D5="Degresivă",MIN(($B5-BE5),MAX(($B5-BE5)*$E5/$C5,($B5-BE5)/($C5-16+1))),IF(OR($D5="Accelerată",$D5="Superaccelerată (2026)"),IF(16=1,$B5*$F5,($B5-BE5)/($C5-16+1)),MIN($B5/$C5,($B5-BE5)))))))</f>
        <v>11250</v>
      </c>
      <c r="W5" s="16">
        <f t="shared" ref="W5:W36" si="18">IF(OR($B5&lt;=0,$C5&lt;17),0,IF(($B5-BF5)&lt;0.005,0,IF(($C5-17+1)&lt;=1,($B5-BF5),IF($D5="Degresivă",MIN(($B5-BF5),MAX(($B5-BF5)*$E5/$C5,($B5-BF5)/($C5-17+1))),IF(OR($D5="Accelerată",$D5="Superaccelerată (2026)"),IF(17=1,$B5*$F5,($B5-BF5)/($C5-17+1)),MIN($B5/$C5,($B5-BF5)))))))</f>
        <v>11250</v>
      </c>
      <c r="X5" s="16">
        <f t="shared" ref="X5:X36" si="19">IF(OR($B5&lt;=0,$C5&lt;18),0,IF(($B5-BG5)&lt;0.005,0,IF(($C5-18+1)&lt;=1,($B5-BG5),IF($D5="Degresivă",MIN(($B5-BG5),MAX(($B5-BG5)*$E5/$C5,($B5-BG5)/($C5-18+1))),IF(OR($D5="Accelerată",$D5="Superaccelerată (2026)"),IF(18=1,$B5*$F5,($B5-BG5)/($C5-18+1)),MIN($B5/$C5,($B5-BG5)))))))</f>
        <v>11250</v>
      </c>
      <c r="Y5" s="16">
        <f t="shared" ref="Y5:Y36" si="20">IF(OR($B5&lt;=0,$C5&lt;19),0,IF(($B5-BH5)&lt;0.005,0,IF(($C5-19+1)&lt;=1,($B5-BH5),IF($D5="Degresivă",MIN(($B5-BH5),MAX(($B5-BH5)*$E5/$C5,($B5-BH5)/($C5-19+1))),IF(OR($D5="Accelerată",$D5="Superaccelerată (2026)"),IF(19=1,$B5*$F5,($B5-BH5)/($C5-19+1)),MIN($B5/$C5,($B5-BH5)))))))</f>
        <v>11250</v>
      </c>
      <c r="Z5" s="16">
        <f t="shared" ref="Z5:Z36" si="21">IF(OR($B5&lt;=0,$C5&lt;20),0,IF(($B5-BI5)&lt;0.005,0,IF(($C5-20+1)&lt;=1,($B5-BI5),IF($D5="Degresivă",MIN(($B5-BI5),MAX(($B5-BI5)*$E5/$C5,($B5-BI5)/($C5-20+1))),IF(OR($D5="Accelerată",$D5="Superaccelerată (2026)"),IF(20=1,$B5*$F5,($B5-BI5)/($C5-20+1)),MIN($B5/$C5,($B5-BI5)))))))</f>
        <v>11250</v>
      </c>
      <c r="AA5" s="16">
        <f t="shared" ref="AA5:AA36" si="22">IF(OR($B5&lt;=0,$C5&lt;21),0,IF(($B5-BJ5)&lt;0.005,0,IF(($C5-21+1)&lt;=1,($B5-BJ5),IF($D5="Degresivă",MIN(($B5-BJ5),MAX(($B5-BJ5)*$E5/$C5,($B5-BJ5)/($C5-21+1))),IF(OR($D5="Accelerată",$D5="Superaccelerată (2026)"),IF(21=1,$B5*$F5,($B5-BJ5)/($C5-21+1)),MIN($B5/$C5,($B5-BJ5)))))))</f>
        <v>11250</v>
      </c>
      <c r="AB5" s="16">
        <f t="shared" ref="AB5:AB36" si="23">IF(OR($B5&lt;=0,$C5&lt;22),0,IF(($B5-BK5)&lt;0.005,0,IF(($C5-22+1)&lt;=1,($B5-BK5),IF($D5="Degresivă",MIN(($B5-BK5),MAX(($B5-BK5)*$E5/$C5,($B5-BK5)/($C5-22+1))),IF(OR($D5="Accelerată",$D5="Superaccelerată (2026)"),IF(22=1,$B5*$F5,($B5-BK5)/($C5-22+1)),MIN($B5/$C5,($B5-BK5)))))))</f>
        <v>11250</v>
      </c>
      <c r="AC5" s="16">
        <f t="shared" ref="AC5:AC36" si="24">IF(OR($B5&lt;=0,$C5&lt;23),0,IF(($B5-BL5)&lt;0.005,0,IF(($C5-23+1)&lt;=1,($B5-BL5),IF($D5="Degresivă",MIN(($B5-BL5),MAX(($B5-BL5)*$E5/$C5,($B5-BL5)/($C5-23+1))),IF(OR($D5="Accelerată",$D5="Superaccelerată (2026)"),IF(23=1,$B5*$F5,($B5-BL5)/($C5-23+1)),MIN($B5/$C5,($B5-BL5)))))))</f>
        <v>11250</v>
      </c>
      <c r="AD5" s="16">
        <f t="shared" ref="AD5:AD36" si="25">IF(OR($B5&lt;=0,$C5&lt;24),0,IF(($B5-BM5)&lt;0.005,0,IF(($C5-24+1)&lt;=1,($B5-BM5),IF($D5="Degresivă",MIN(($B5-BM5),MAX(($B5-BM5)*$E5/$C5,($B5-BM5)/($C5-24+1))),IF(OR($D5="Accelerată",$D5="Superaccelerată (2026)"),IF(24=1,$B5*$F5,($B5-BM5)/($C5-24+1)),MIN($B5/$C5,($B5-BM5)))))))</f>
        <v>11250</v>
      </c>
      <c r="AE5" s="16">
        <f t="shared" ref="AE5:AE36" si="26">IF(OR($B5&lt;=0,$C5&lt;25),0,IF(($B5-BN5)&lt;0.005,0,IF(($C5-25+1)&lt;=1,($B5-BN5),IF($D5="Degresivă",MIN(($B5-BN5),MAX(($B5-BN5)*$E5/$C5,($B5-BN5)/($C5-25+1))),IF(OR($D5="Accelerată",$D5="Superaccelerată (2026)"),IF(25=1,$B5*$F5,($B5-BN5)/($C5-25+1)),MIN($B5/$C5,($B5-BN5)))))))</f>
        <v>11250</v>
      </c>
      <c r="AF5" s="16">
        <f t="shared" ref="AF5:AF36" si="27">IF(OR($B5&lt;=0,$C5&lt;26),0,IF(($B5-BO5)&lt;0.005,0,IF(($C5-26+1)&lt;=1,($B5-BO5),IF($D5="Degresivă",MIN(($B5-BO5),MAX(($B5-BO5)*$E5/$C5,($B5-BO5)/($C5-26+1))),IF(OR($D5="Accelerată",$D5="Superaccelerată (2026)"),IF(26=1,$B5*$F5,($B5-BO5)/($C5-26+1)),MIN($B5/$C5,($B5-BO5)))))))</f>
        <v>11250</v>
      </c>
      <c r="AG5" s="16">
        <f t="shared" ref="AG5:AG36" si="28">IF(OR($B5&lt;=0,$C5&lt;27),0,IF(($B5-BP5)&lt;0.005,0,IF(($C5-27+1)&lt;=1,($B5-BP5),IF($D5="Degresivă",MIN(($B5-BP5),MAX(($B5-BP5)*$E5/$C5,($B5-BP5)/($C5-27+1))),IF(OR($D5="Accelerată",$D5="Superaccelerată (2026)"),IF(27=1,$B5*$F5,($B5-BP5)/($C5-27+1)),MIN($B5/$C5,($B5-BP5)))))))</f>
        <v>11250</v>
      </c>
      <c r="AH5" s="16">
        <f t="shared" ref="AH5:AH36" si="29">IF(OR($B5&lt;=0,$C5&lt;28),0,IF(($B5-BQ5)&lt;0.005,0,IF(($C5-28+1)&lt;=1,($B5-BQ5),IF($D5="Degresivă",MIN(($B5-BQ5),MAX(($B5-BQ5)*$E5/$C5,($B5-BQ5)/($C5-28+1))),IF(OR($D5="Accelerată",$D5="Superaccelerată (2026)"),IF(28=1,$B5*$F5,($B5-BQ5)/($C5-28+1)),MIN($B5/$C5,($B5-BQ5)))))))</f>
        <v>11250</v>
      </c>
      <c r="AI5" s="16">
        <f t="shared" ref="AI5:AI36" si="30">IF(OR($B5&lt;=0,$C5&lt;29),0,IF(($B5-BR5)&lt;0.005,0,IF(($C5-29+1)&lt;=1,($B5-BR5),IF($D5="Degresivă",MIN(($B5-BR5),MAX(($B5-BR5)*$E5/$C5,($B5-BR5)/($C5-29+1))),IF(OR($D5="Accelerată",$D5="Superaccelerată (2026)"),IF(29=1,$B5*$F5,($B5-BR5)/($C5-29+1)),MIN($B5/$C5,($B5-BR5)))))))</f>
        <v>11250</v>
      </c>
      <c r="AJ5" s="16">
        <f t="shared" ref="AJ5:AJ36" si="31">IF(OR($B5&lt;=0,$C5&lt;30),0,IF(($B5-BS5)&lt;0.005,0,IF(($C5-30+1)&lt;=1,($B5-BS5),IF($D5="Degresivă",MIN(($B5-BS5),MAX(($B5-BS5)*$E5/$C5,($B5-BS5)/($C5-30+1))),IF(OR($D5="Accelerată",$D5="Superaccelerată (2026)"),IF(30=1,$B5*$F5,($B5-BS5)/($C5-30+1)),MIN($B5/$C5,($B5-BS5)))))))</f>
        <v>11250</v>
      </c>
      <c r="AK5" s="16"/>
      <c r="AL5" s="16"/>
      <c r="AM5" s="16">
        <f>IF(NOT(ISNUMBER('Registru mijloace fixe'!$R5)),0,MAX(0,MIN(((YEAR(LunaRef)-YEAR('Registru mijloace fixe'!$R5))*12+MONTH(LunaRef)-MONTH('Registru mijloace fixe'!$R5)+1)-1,IF(ISNUMBER('Registru mijloace fixe'!$N5),((YEAR('Registru mijloace fixe'!$N5)-YEAR('Registru mijloace fixe'!$R5))*12+MONTH('Registru mijloace fixe'!$N5)-MONTH('Registru mijloace fixe'!$R5)+1),9999),C5*12)))</f>
        <v>90</v>
      </c>
      <c r="AN5" s="27">
        <f>IF(NOT(ISNUMBER('Registru mijloace fixe'!$R5)),0,MAX(0,MIN(((YEAR(LunaRef)-YEAR('Registru mijloace fixe'!$R5))*12+MONTH(LunaRef)-MONTH('Registru mijloace fixe'!$R5)+1),IF(ISNUMBER('Registru mijloace fixe'!$N5),((YEAR('Registru mijloace fixe'!$N5)-YEAR('Registru mijloace fixe'!$R5))*12+MONTH('Registru mijloace fixe'!$N5)-MONTH('Registru mijloace fixe'!$R5)+1),9999),C5*12)))</f>
        <v>91</v>
      </c>
      <c r="AO5" s="16">
        <f t="shared" ref="AO5:AO36" si="32">IF((AN5)&lt;=0,0,IF($D5="Liniară",MIN($B5,$B5*(AN5)/($C5*12)),MIN($B5,IF(INT((AN5)/12)=0,0,INDEX($AQ5:$BT5,MIN(INT((AN5)/12),30)))+IF(INT((AN5)/12)&gt;=30,0,MOD((AN5),12)/12*INDEX($G5:$AJ5,INT((AN5)/12)+1)))))</f>
        <v>85312.5</v>
      </c>
      <c r="AP5" s="16">
        <f t="shared" ref="AP5:AP36" si="33">IF((AM5)&lt;=0,0,IF($D5="Liniară",MIN($B5,$B5*(AM5)/($C5*12)),MIN($B5,IF(INT((AM5)/12)=0,0,INDEX($AQ5:$BT5,MIN(INT((AM5)/12),30)))+IF(INT((AM5)/12)&gt;=30,0,MOD((AM5),12)/12*INDEX($G5:$AJ5,INT((AM5)/12)+1)))))</f>
        <v>84375</v>
      </c>
      <c r="AQ5" s="16">
        <f t="shared" ref="AQ5:AQ36" si="34">G5</f>
        <v>11250</v>
      </c>
      <c r="AR5" s="16">
        <f t="shared" ref="AR5:AR36" si="35">AQ5+H5</f>
        <v>22500</v>
      </c>
      <c r="AS5" s="16">
        <f t="shared" ref="AS5:AS36" si="36">AR5+I5</f>
        <v>33750</v>
      </c>
      <c r="AT5" s="16">
        <f t="shared" ref="AT5:AT36" si="37">AS5+J5</f>
        <v>45000</v>
      </c>
      <c r="AU5" s="16">
        <f t="shared" ref="AU5:AU36" si="38">AT5+K5</f>
        <v>56250</v>
      </c>
      <c r="AV5" s="16">
        <f t="shared" ref="AV5:AV36" si="39">AU5+L5</f>
        <v>67500</v>
      </c>
      <c r="AW5" s="16">
        <f t="shared" ref="AW5:AW36" si="40">AV5+M5</f>
        <v>78750</v>
      </c>
      <c r="AX5" s="16">
        <f t="shared" ref="AX5:AX36" si="41">AW5+N5</f>
        <v>90000</v>
      </c>
      <c r="AY5" s="16">
        <f t="shared" ref="AY5:AY36" si="42">AX5+O5</f>
        <v>101250</v>
      </c>
      <c r="AZ5" s="16">
        <f t="shared" ref="AZ5:AZ36" si="43">AY5+P5</f>
        <v>112500</v>
      </c>
      <c r="BA5" s="16">
        <f t="shared" ref="BA5:BA36" si="44">AZ5+Q5</f>
        <v>123750</v>
      </c>
      <c r="BB5" s="16">
        <f t="shared" ref="BB5:BB36" si="45">BA5+R5</f>
        <v>135000</v>
      </c>
      <c r="BC5" s="16">
        <f t="shared" ref="BC5:BC36" si="46">BB5+S5</f>
        <v>146250</v>
      </c>
      <c r="BD5" s="16">
        <f t="shared" ref="BD5:BD36" si="47">BC5+T5</f>
        <v>157500</v>
      </c>
      <c r="BE5" s="16">
        <f t="shared" ref="BE5:BE36" si="48">BD5+U5</f>
        <v>168750</v>
      </c>
      <c r="BF5" s="16">
        <f t="shared" ref="BF5:BF36" si="49">BE5+V5</f>
        <v>180000</v>
      </c>
      <c r="BG5" s="16">
        <f t="shared" ref="BG5:BG36" si="50">BF5+W5</f>
        <v>191250</v>
      </c>
      <c r="BH5" s="16">
        <f t="shared" ref="BH5:BH36" si="51">BG5+X5</f>
        <v>202500</v>
      </c>
      <c r="BI5" s="16">
        <f t="shared" ref="BI5:BI36" si="52">BH5+Y5</f>
        <v>213750</v>
      </c>
      <c r="BJ5" s="16">
        <f t="shared" ref="BJ5:BJ36" si="53">BI5+Z5</f>
        <v>225000</v>
      </c>
      <c r="BK5" s="16">
        <f t="shared" ref="BK5:BK36" si="54">BJ5+AA5</f>
        <v>236250</v>
      </c>
      <c r="BL5" s="16">
        <f t="shared" ref="BL5:BL36" si="55">BK5+AB5</f>
        <v>247500</v>
      </c>
      <c r="BM5" s="16">
        <f t="shared" ref="BM5:BM36" si="56">BL5+AC5</f>
        <v>258750</v>
      </c>
      <c r="BN5" s="16">
        <f t="shared" ref="BN5:BN36" si="57">BM5+AD5</f>
        <v>270000</v>
      </c>
      <c r="BO5" s="16">
        <f t="shared" ref="BO5:BO36" si="58">BN5+AE5</f>
        <v>281250</v>
      </c>
      <c r="BP5" s="16">
        <f t="shared" ref="BP5:BP36" si="59">BO5+AF5</f>
        <v>292500</v>
      </c>
      <c r="BQ5" s="16">
        <f t="shared" ref="BQ5:BQ36" si="60">BP5+AG5</f>
        <v>303750</v>
      </c>
      <c r="BR5" s="16">
        <f t="shared" ref="BR5:BR36" si="61">BQ5+AH5</f>
        <v>315000</v>
      </c>
      <c r="BS5" s="16">
        <f t="shared" ref="BS5:BS36" si="62">BR5+AI5</f>
        <v>326250</v>
      </c>
      <c r="BT5" s="16">
        <f t="shared" ref="BT5:BT36" si="63">BS5+AJ5</f>
        <v>337500</v>
      </c>
    </row>
    <row r="6" spans="2:72" x14ac:dyDescent="0.2">
      <c r="B6" s="16">
        <f>N('Registru mijloace fixe'!$I6)</f>
        <v>185000</v>
      </c>
      <c r="C6" s="27">
        <f>N('Registru mijloace fixe'!$J6)</f>
        <v>8</v>
      </c>
      <c r="D6" s="16" t="str">
        <f>'Registru mijloace fixe'!$K6&amp;""</f>
        <v>Degresivă</v>
      </c>
      <c r="E6" s="16">
        <f t="shared" si="0"/>
        <v>2</v>
      </c>
      <c r="F6" s="16">
        <f t="shared" si="1"/>
        <v>0.5</v>
      </c>
      <c r="G6" s="16">
        <f t="shared" si="2"/>
        <v>46250</v>
      </c>
      <c r="H6" s="16">
        <f t="shared" si="3"/>
        <v>34687.5</v>
      </c>
      <c r="I6" s="16">
        <f t="shared" si="4"/>
        <v>26015.625</v>
      </c>
      <c r="J6" s="16">
        <f t="shared" si="5"/>
        <v>19511.71875</v>
      </c>
      <c r="K6" s="16">
        <f t="shared" si="6"/>
        <v>14633.7890625</v>
      </c>
      <c r="L6" s="16">
        <f t="shared" si="7"/>
        <v>14633.7890625</v>
      </c>
      <c r="M6" s="16">
        <f t="shared" si="8"/>
        <v>14633.7890625</v>
      </c>
      <c r="N6" s="16">
        <f t="shared" si="9"/>
        <v>14633.7890625</v>
      </c>
      <c r="O6" s="16">
        <f t="shared" si="10"/>
        <v>0</v>
      </c>
      <c r="P6" s="16">
        <f t="shared" si="11"/>
        <v>0</v>
      </c>
      <c r="Q6" s="16">
        <f t="shared" si="12"/>
        <v>0</v>
      </c>
      <c r="R6" s="16">
        <f t="shared" si="13"/>
        <v>0</v>
      </c>
      <c r="S6" s="16">
        <f t="shared" si="14"/>
        <v>0</v>
      </c>
      <c r="T6" s="16">
        <f t="shared" si="15"/>
        <v>0</v>
      </c>
      <c r="U6" s="16">
        <f t="shared" si="16"/>
        <v>0</v>
      </c>
      <c r="V6" s="16">
        <f t="shared" si="17"/>
        <v>0</v>
      </c>
      <c r="W6" s="16">
        <f t="shared" si="18"/>
        <v>0</v>
      </c>
      <c r="X6" s="16">
        <f t="shared" si="19"/>
        <v>0</v>
      </c>
      <c r="Y6" s="16">
        <f t="shared" si="20"/>
        <v>0</v>
      </c>
      <c r="Z6" s="16">
        <f t="shared" si="21"/>
        <v>0</v>
      </c>
      <c r="AA6" s="16">
        <f t="shared" si="22"/>
        <v>0</v>
      </c>
      <c r="AB6" s="16">
        <f t="shared" si="23"/>
        <v>0</v>
      </c>
      <c r="AC6" s="16">
        <f t="shared" si="24"/>
        <v>0</v>
      </c>
      <c r="AD6" s="16">
        <f t="shared" si="25"/>
        <v>0</v>
      </c>
      <c r="AE6" s="16">
        <f t="shared" si="26"/>
        <v>0</v>
      </c>
      <c r="AF6" s="16">
        <f t="shared" si="27"/>
        <v>0</v>
      </c>
      <c r="AG6" s="16">
        <f t="shared" si="28"/>
        <v>0</v>
      </c>
      <c r="AH6" s="16">
        <f t="shared" si="29"/>
        <v>0</v>
      </c>
      <c r="AI6" s="16">
        <f t="shared" si="30"/>
        <v>0</v>
      </c>
      <c r="AJ6" s="16">
        <f t="shared" si="31"/>
        <v>0</v>
      </c>
      <c r="AK6" s="16"/>
      <c r="AL6" s="16"/>
      <c r="AM6" s="16">
        <f>IF(NOT(ISNUMBER('Registru mijloace fixe'!$R6)),0,MAX(0,MIN(((YEAR(LunaRef)-YEAR('Registru mijloace fixe'!$R6))*12+MONTH(LunaRef)-MONTH('Registru mijloace fixe'!$R6)+1)-1,IF(ISNUMBER('Registru mijloace fixe'!$N6),((YEAR('Registru mijloace fixe'!$N6)-YEAR('Registru mijloace fixe'!$R6))*12+MONTH('Registru mijloace fixe'!$N6)-MONTH('Registru mijloace fixe'!$R6)+1),9999),C6*12)))</f>
        <v>28</v>
      </c>
      <c r="AN6" s="27">
        <f>IF(NOT(ISNUMBER('Registru mijloace fixe'!$R6)),0,MAX(0,MIN(((YEAR(LunaRef)-YEAR('Registru mijloace fixe'!$R6))*12+MONTH(LunaRef)-MONTH('Registru mijloace fixe'!$R6)+1),IF(ISNUMBER('Registru mijloace fixe'!$N6),((YEAR('Registru mijloace fixe'!$N6)-YEAR('Registru mijloace fixe'!$R6))*12+MONTH('Registru mijloace fixe'!$N6)-MONTH('Registru mijloace fixe'!$R6)+1),9999),C6*12)))</f>
        <v>29</v>
      </c>
      <c r="AO6" s="16">
        <f t="shared" si="32"/>
        <v>91777.34375</v>
      </c>
      <c r="AP6" s="16">
        <f t="shared" si="33"/>
        <v>89609.375</v>
      </c>
      <c r="AQ6" s="16">
        <f t="shared" si="34"/>
        <v>46250</v>
      </c>
      <c r="AR6" s="16">
        <f t="shared" si="35"/>
        <v>80937.5</v>
      </c>
      <c r="AS6" s="16">
        <f t="shared" si="36"/>
        <v>106953.125</v>
      </c>
      <c r="AT6" s="16">
        <f t="shared" si="37"/>
        <v>126464.84375</v>
      </c>
      <c r="AU6" s="16">
        <f t="shared" si="38"/>
        <v>141098.6328125</v>
      </c>
      <c r="AV6" s="16">
        <f t="shared" si="39"/>
        <v>155732.421875</v>
      </c>
      <c r="AW6" s="16">
        <f t="shared" si="40"/>
        <v>170366.2109375</v>
      </c>
      <c r="AX6" s="16">
        <f t="shared" si="41"/>
        <v>185000</v>
      </c>
      <c r="AY6" s="16">
        <f t="shared" si="42"/>
        <v>185000</v>
      </c>
      <c r="AZ6" s="16">
        <f t="shared" si="43"/>
        <v>185000</v>
      </c>
      <c r="BA6" s="16">
        <f t="shared" si="44"/>
        <v>185000</v>
      </c>
      <c r="BB6" s="16">
        <f t="shared" si="45"/>
        <v>185000</v>
      </c>
      <c r="BC6" s="16">
        <f t="shared" si="46"/>
        <v>185000</v>
      </c>
      <c r="BD6" s="16">
        <f t="shared" si="47"/>
        <v>185000</v>
      </c>
      <c r="BE6" s="16">
        <f t="shared" si="48"/>
        <v>185000</v>
      </c>
      <c r="BF6" s="16">
        <f t="shared" si="49"/>
        <v>185000</v>
      </c>
      <c r="BG6" s="16">
        <f t="shared" si="50"/>
        <v>185000</v>
      </c>
      <c r="BH6" s="16">
        <f t="shared" si="51"/>
        <v>185000</v>
      </c>
      <c r="BI6" s="16">
        <f t="shared" si="52"/>
        <v>185000</v>
      </c>
      <c r="BJ6" s="16">
        <f t="shared" si="53"/>
        <v>185000</v>
      </c>
      <c r="BK6" s="16">
        <f t="shared" si="54"/>
        <v>185000</v>
      </c>
      <c r="BL6" s="16">
        <f t="shared" si="55"/>
        <v>185000</v>
      </c>
      <c r="BM6" s="16">
        <f t="shared" si="56"/>
        <v>185000</v>
      </c>
      <c r="BN6" s="16">
        <f t="shared" si="57"/>
        <v>185000</v>
      </c>
      <c r="BO6" s="16">
        <f t="shared" si="58"/>
        <v>185000</v>
      </c>
      <c r="BP6" s="16">
        <f t="shared" si="59"/>
        <v>185000</v>
      </c>
      <c r="BQ6" s="16">
        <f t="shared" si="60"/>
        <v>185000</v>
      </c>
      <c r="BR6" s="16">
        <f t="shared" si="61"/>
        <v>185000</v>
      </c>
      <c r="BS6" s="16">
        <f t="shared" si="62"/>
        <v>185000</v>
      </c>
      <c r="BT6" s="16">
        <f t="shared" si="63"/>
        <v>185000</v>
      </c>
    </row>
    <row r="7" spans="2:72" x14ac:dyDescent="0.2">
      <c r="B7" s="16">
        <f>N('Registru mijloace fixe'!$I7)</f>
        <v>128000</v>
      </c>
      <c r="C7" s="27">
        <f>N('Registru mijloace fixe'!$J7)</f>
        <v>5</v>
      </c>
      <c r="D7" s="16" t="str">
        <f>'Registru mijloace fixe'!$K7&amp;""</f>
        <v>Liniară</v>
      </c>
      <c r="E7" s="16">
        <f t="shared" si="0"/>
        <v>1.5</v>
      </c>
      <c r="F7" s="16">
        <f t="shared" si="1"/>
        <v>0.5</v>
      </c>
      <c r="G7" s="16">
        <f t="shared" si="2"/>
        <v>25600</v>
      </c>
      <c r="H7" s="16">
        <f t="shared" si="3"/>
        <v>25600</v>
      </c>
      <c r="I7" s="16">
        <f t="shared" si="4"/>
        <v>25600</v>
      </c>
      <c r="J7" s="16">
        <f t="shared" si="5"/>
        <v>25600</v>
      </c>
      <c r="K7" s="16">
        <f t="shared" si="6"/>
        <v>25600</v>
      </c>
      <c r="L7" s="16">
        <f t="shared" si="7"/>
        <v>0</v>
      </c>
      <c r="M7" s="16">
        <f t="shared" si="8"/>
        <v>0</v>
      </c>
      <c r="N7" s="16">
        <f t="shared" si="9"/>
        <v>0</v>
      </c>
      <c r="O7" s="16">
        <f t="shared" si="10"/>
        <v>0</v>
      </c>
      <c r="P7" s="16">
        <f t="shared" si="11"/>
        <v>0</v>
      </c>
      <c r="Q7" s="16">
        <f t="shared" si="12"/>
        <v>0</v>
      </c>
      <c r="R7" s="16">
        <f t="shared" si="13"/>
        <v>0</v>
      </c>
      <c r="S7" s="16">
        <f t="shared" si="14"/>
        <v>0</v>
      </c>
      <c r="T7" s="16">
        <f t="shared" si="15"/>
        <v>0</v>
      </c>
      <c r="U7" s="16">
        <f t="shared" si="16"/>
        <v>0</v>
      </c>
      <c r="V7" s="16">
        <f t="shared" si="17"/>
        <v>0</v>
      </c>
      <c r="W7" s="16">
        <f t="shared" si="18"/>
        <v>0</v>
      </c>
      <c r="X7" s="16">
        <f t="shared" si="19"/>
        <v>0</v>
      </c>
      <c r="Y7" s="16">
        <f t="shared" si="20"/>
        <v>0</v>
      </c>
      <c r="Z7" s="16">
        <f t="shared" si="21"/>
        <v>0</v>
      </c>
      <c r="AA7" s="16">
        <f t="shared" si="22"/>
        <v>0</v>
      </c>
      <c r="AB7" s="16">
        <f t="shared" si="23"/>
        <v>0</v>
      </c>
      <c r="AC7" s="16">
        <f t="shared" si="24"/>
        <v>0</v>
      </c>
      <c r="AD7" s="16">
        <f t="shared" si="25"/>
        <v>0</v>
      </c>
      <c r="AE7" s="16">
        <f t="shared" si="26"/>
        <v>0</v>
      </c>
      <c r="AF7" s="16">
        <f t="shared" si="27"/>
        <v>0</v>
      </c>
      <c r="AG7" s="16">
        <f t="shared" si="28"/>
        <v>0</v>
      </c>
      <c r="AH7" s="16">
        <f t="shared" si="29"/>
        <v>0</v>
      </c>
      <c r="AI7" s="16">
        <f t="shared" si="30"/>
        <v>0</v>
      </c>
      <c r="AJ7" s="16">
        <f t="shared" si="31"/>
        <v>0</v>
      </c>
      <c r="AK7" s="16"/>
      <c r="AL7" s="16"/>
      <c r="AM7" s="16">
        <f>IF(NOT(ISNUMBER('Registru mijloace fixe'!$R7)),0,MAX(0,MIN(((YEAR(LunaRef)-YEAR('Registru mijloace fixe'!$R7))*12+MONTH(LunaRef)-MONTH('Registru mijloace fixe'!$R7)+1)-1,IF(ISNUMBER('Registru mijloace fixe'!$N7),((YEAR('Registru mijloace fixe'!$N7)-YEAR('Registru mijloace fixe'!$R7))*12+MONTH('Registru mijloace fixe'!$N7)-MONTH('Registru mijloace fixe'!$R7)+1),9999),C7*12)))</f>
        <v>36</v>
      </c>
      <c r="AN7" s="27">
        <f>IF(NOT(ISNUMBER('Registru mijloace fixe'!$R7)),0,MAX(0,MIN(((YEAR(LunaRef)-YEAR('Registru mijloace fixe'!$R7))*12+MONTH(LunaRef)-MONTH('Registru mijloace fixe'!$R7)+1),IF(ISNUMBER('Registru mijloace fixe'!$N7),((YEAR('Registru mijloace fixe'!$N7)-YEAR('Registru mijloace fixe'!$R7))*12+MONTH('Registru mijloace fixe'!$N7)-MONTH('Registru mijloace fixe'!$R7)+1),9999),C7*12)))</f>
        <v>37</v>
      </c>
      <c r="AO7" s="16">
        <f t="shared" si="32"/>
        <v>78933.333333333328</v>
      </c>
      <c r="AP7" s="16">
        <f t="shared" si="33"/>
        <v>76800</v>
      </c>
      <c r="AQ7" s="16">
        <f t="shared" si="34"/>
        <v>25600</v>
      </c>
      <c r="AR7" s="16">
        <f t="shared" si="35"/>
        <v>51200</v>
      </c>
      <c r="AS7" s="16">
        <f t="shared" si="36"/>
        <v>76800</v>
      </c>
      <c r="AT7" s="16">
        <f t="shared" si="37"/>
        <v>102400</v>
      </c>
      <c r="AU7" s="16">
        <f t="shared" si="38"/>
        <v>128000</v>
      </c>
      <c r="AV7" s="16">
        <f t="shared" si="39"/>
        <v>128000</v>
      </c>
      <c r="AW7" s="16">
        <f t="shared" si="40"/>
        <v>128000</v>
      </c>
      <c r="AX7" s="16">
        <f t="shared" si="41"/>
        <v>128000</v>
      </c>
      <c r="AY7" s="16">
        <f t="shared" si="42"/>
        <v>128000</v>
      </c>
      <c r="AZ7" s="16">
        <f t="shared" si="43"/>
        <v>128000</v>
      </c>
      <c r="BA7" s="16">
        <f t="shared" si="44"/>
        <v>128000</v>
      </c>
      <c r="BB7" s="16">
        <f t="shared" si="45"/>
        <v>128000</v>
      </c>
      <c r="BC7" s="16">
        <f t="shared" si="46"/>
        <v>128000</v>
      </c>
      <c r="BD7" s="16">
        <f t="shared" si="47"/>
        <v>128000</v>
      </c>
      <c r="BE7" s="16">
        <f t="shared" si="48"/>
        <v>128000</v>
      </c>
      <c r="BF7" s="16">
        <f t="shared" si="49"/>
        <v>128000</v>
      </c>
      <c r="BG7" s="16">
        <f t="shared" si="50"/>
        <v>128000</v>
      </c>
      <c r="BH7" s="16">
        <f t="shared" si="51"/>
        <v>128000</v>
      </c>
      <c r="BI7" s="16">
        <f t="shared" si="52"/>
        <v>128000</v>
      </c>
      <c r="BJ7" s="16">
        <f t="shared" si="53"/>
        <v>128000</v>
      </c>
      <c r="BK7" s="16">
        <f t="shared" si="54"/>
        <v>128000</v>
      </c>
      <c r="BL7" s="16">
        <f t="shared" si="55"/>
        <v>128000</v>
      </c>
      <c r="BM7" s="16">
        <f t="shared" si="56"/>
        <v>128000</v>
      </c>
      <c r="BN7" s="16">
        <f t="shared" si="57"/>
        <v>128000</v>
      </c>
      <c r="BO7" s="16">
        <f t="shared" si="58"/>
        <v>128000</v>
      </c>
      <c r="BP7" s="16">
        <f t="shared" si="59"/>
        <v>128000</v>
      </c>
      <c r="BQ7" s="16">
        <f t="shared" si="60"/>
        <v>128000</v>
      </c>
      <c r="BR7" s="16">
        <f t="shared" si="61"/>
        <v>128000</v>
      </c>
      <c r="BS7" s="16">
        <f t="shared" si="62"/>
        <v>128000</v>
      </c>
      <c r="BT7" s="16">
        <f t="shared" si="63"/>
        <v>128000</v>
      </c>
    </row>
    <row r="8" spans="2:72" x14ac:dyDescent="0.2">
      <c r="B8" s="16">
        <f>N('Registru mijloace fixe'!$I8)</f>
        <v>32500</v>
      </c>
      <c r="C8" s="27">
        <f>N('Registru mijloace fixe'!$J8)</f>
        <v>4</v>
      </c>
      <c r="D8" s="16" t="str">
        <f>'Registru mijloace fixe'!$K8&amp;""</f>
        <v>Accelerată</v>
      </c>
      <c r="E8" s="16">
        <f t="shared" si="0"/>
        <v>1.5</v>
      </c>
      <c r="F8" s="16">
        <f t="shared" si="1"/>
        <v>0.5</v>
      </c>
      <c r="G8" s="16">
        <f t="shared" si="2"/>
        <v>16250</v>
      </c>
      <c r="H8" s="16">
        <f t="shared" si="3"/>
        <v>5416.666666666667</v>
      </c>
      <c r="I8" s="16">
        <f t="shared" si="4"/>
        <v>5416.6666666666661</v>
      </c>
      <c r="J8" s="16">
        <f t="shared" si="5"/>
        <v>5416.6666666666642</v>
      </c>
      <c r="K8" s="16">
        <f t="shared" si="6"/>
        <v>0</v>
      </c>
      <c r="L8" s="16">
        <f t="shared" si="7"/>
        <v>0</v>
      </c>
      <c r="M8" s="16">
        <f t="shared" si="8"/>
        <v>0</v>
      </c>
      <c r="N8" s="16">
        <f t="shared" si="9"/>
        <v>0</v>
      </c>
      <c r="O8" s="16">
        <f t="shared" si="10"/>
        <v>0</v>
      </c>
      <c r="P8" s="16">
        <f t="shared" si="11"/>
        <v>0</v>
      </c>
      <c r="Q8" s="16">
        <f t="shared" si="12"/>
        <v>0</v>
      </c>
      <c r="R8" s="16">
        <f t="shared" si="13"/>
        <v>0</v>
      </c>
      <c r="S8" s="16">
        <f t="shared" si="14"/>
        <v>0</v>
      </c>
      <c r="T8" s="16">
        <f t="shared" si="15"/>
        <v>0</v>
      </c>
      <c r="U8" s="16">
        <f t="shared" si="16"/>
        <v>0</v>
      </c>
      <c r="V8" s="16">
        <f t="shared" si="17"/>
        <v>0</v>
      </c>
      <c r="W8" s="16">
        <f t="shared" si="18"/>
        <v>0</v>
      </c>
      <c r="X8" s="16">
        <f t="shared" si="19"/>
        <v>0</v>
      </c>
      <c r="Y8" s="16">
        <f t="shared" si="20"/>
        <v>0</v>
      </c>
      <c r="Z8" s="16">
        <f t="shared" si="21"/>
        <v>0</v>
      </c>
      <c r="AA8" s="16">
        <f t="shared" si="22"/>
        <v>0</v>
      </c>
      <c r="AB8" s="16">
        <f t="shared" si="23"/>
        <v>0</v>
      </c>
      <c r="AC8" s="16">
        <f t="shared" si="24"/>
        <v>0</v>
      </c>
      <c r="AD8" s="16">
        <f t="shared" si="25"/>
        <v>0</v>
      </c>
      <c r="AE8" s="16">
        <f t="shared" si="26"/>
        <v>0</v>
      </c>
      <c r="AF8" s="16">
        <f t="shared" si="27"/>
        <v>0</v>
      </c>
      <c r="AG8" s="16">
        <f t="shared" si="28"/>
        <v>0</v>
      </c>
      <c r="AH8" s="16">
        <f t="shared" si="29"/>
        <v>0</v>
      </c>
      <c r="AI8" s="16">
        <f t="shared" si="30"/>
        <v>0</v>
      </c>
      <c r="AJ8" s="16">
        <f t="shared" si="31"/>
        <v>0</v>
      </c>
      <c r="AK8" s="16"/>
      <c r="AL8" s="16"/>
      <c r="AM8" s="16">
        <f>IF(NOT(ISNUMBER('Registru mijloace fixe'!$R8)),0,MAX(0,MIN(((YEAR(LunaRef)-YEAR('Registru mijloace fixe'!$R8))*12+MONTH(LunaRef)-MONTH('Registru mijloace fixe'!$R8)+1)-1,IF(ISNUMBER('Registru mijloace fixe'!$N8),((YEAR('Registru mijloace fixe'!$N8)-YEAR('Registru mijloace fixe'!$R8))*12+MONTH('Registru mijloace fixe'!$N8)-MONTH('Registru mijloace fixe'!$R8)+1),9999),C8*12)))</f>
        <v>19</v>
      </c>
      <c r="AN8" s="27">
        <f>IF(NOT(ISNUMBER('Registru mijloace fixe'!$R8)),0,MAX(0,MIN(((YEAR(LunaRef)-YEAR('Registru mijloace fixe'!$R8))*12+MONTH(LunaRef)-MONTH('Registru mijloace fixe'!$R8)+1),IF(ISNUMBER('Registru mijloace fixe'!$N8),((YEAR('Registru mijloace fixe'!$N8)-YEAR('Registru mijloace fixe'!$R8))*12+MONTH('Registru mijloace fixe'!$N8)-MONTH('Registru mijloace fixe'!$R8)+1),9999),C8*12)))</f>
        <v>20</v>
      </c>
      <c r="AO8" s="16">
        <f t="shared" si="32"/>
        <v>19861.111111111109</v>
      </c>
      <c r="AP8" s="16">
        <f t="shared" si="33"/>
        <v>19409.722222222223</v>
      </c>
      <c r="AQ8" s="16">
        <f t="shared" si="34"/>
        <v>16250</v>
      </c>
      <c r="AR8" s="16">
        <f t="shared" si="35"/>
        <v>21666.666666666668</v>
      </c>
      <c r="AS8" s="16">
        <f t="shared" si="36"/>
        <v>27083.333333333336</v>
      </c>
      <c r="AT8" s="16">
        <f t="shared" si="37"/>
        <v>32500</v>
      </c>
      <c r="AU8" s="16">
        <f t="shared" si="38"/>
        <v>32500</v>
      </c>
      <c r="AV8" s="16">
        <f t="shared" si="39"/>
        <v>32500</v>
      </c>
      <c r="AW8" s="16">
        <f t="shared" si="40"/>
        <v>32500</v>
      </c>
      <c r="AX8" s="16">
        <f t="shared" si="41"/>
        <v>32500</v>
      </c>
      <c r="AY8" s="16">
        <f t="shared" si="42"/>
        <v>32500</v>
      </c>
      <c r="AZ8" s="16">
        <f t="shared" si="43"/>
        <v>32500</v>
      </c>
      <c r="BA8" s="16">
        <f t="shared" si="44"/>
        <v>32500</v>
      </c>
      <c r="BB8" s="16">
        <f t="shared" si="45"/>
        <v>32500</v>
      </c>
      <c r="BC8" s="16">
        <f t="shared" si="46"/>
        <v>32500</v>
      </c>
      <c r="BD8" s="16">
        <f t="shared" si="47"/>
        <v>32500</v>
      </c>
      <c r="BE8" s="16">
        <f t="shared" si="48"/>
        <v>32500</v>
      </c>
      <c r="BF8" s="16">
        <f t="shared" si="49"/>
        <v>32500</v>
      </c>
      <c r="BG8" s="16">
        <f t="shared" si="50"/>
        <v>32500</v>
      </c>
      <c r="BH8" s="16">
        <f t="shared" si="51"/>
        <v>32500</v>
      </c>
      <c r="BI8" s="16">
        <f t="shared" si="52"/>
        <v>32500</v>
      </c>
      <c r="BJ8" s="16">
        <f t="shared" si="53"/>
        <v>32500</v>
      </c>
      <c r="BK8" s="16">
        <f t="shared" si="54"/>
        <v>32500</v>
      </c>
      <c r="BL8" s="16">
        <f t="shared" si="55"/>
        <v>32500</v>
      </c>
      <c r="BM8" s="16">
        <f t="shared" si="56"/>
        <v>32500</v>
      </c>
      <c r="BN8" s="16">
        <f t="shared" si="57"/>
        <v>32500</v>
      </c>
      <c r="BO8" s="16">
        <f t="shared" si="58"/>
        <v>32500</v>
      </c>
      <c r="BP8" s="16">
        <f t="shared" si="59"/>
        <v>32500</v>
      </c>
      <c r="BQ8" s="16">
        <f t="shared" si="60"/>
        <v>32500</v>
      </c>
      <c r="BR8" s="16">
        <f t="shared" si="61"/>
        <v>32500</v>
      </c>
      <c r="BS8" s="16">
        <f t="shared" si="62"/>
        <v>32500</v>
      </c>
      <c r="BT8" s="16">
        <f t="shared" si="63"/>
        <v>32500</v>
      </c>
    </row>
    <row r="9" spans="2:72" x14ac:dyDescent="0.2">
      <c r="B9" s="16">
        <f>N('Registru mijloace fixe'!$I9)</f>
        <v>46800</v>
      </c>
      <c r="C9" s="27">
        <f>N('Registru mijloace fixe'!$J9)</f>
        <v>6</v>
      </c>
      <c r="D9" s="16" t="str">
        <f>'Registru mijloace fixe'!$K9&amp;""</f>
        <v>Superaccelerată (2026)</v>
      </c>
      <c r="E9" s="16">
        <f t="shared" si="0"/>
        <v>2</v>
      </c>
      <c r="F9" s="16">
        <f t="shared" si="1"/>
        <v>0.65</v>
      </c>
      <c r="G9" s="16">
        <f t="shared" si="2"/>
        <v>30420</v>
      </c>
      <c r="H9" s="16">
        <f t="shared" si="3"/>
        <v>3276</v>
      </c>
      <c r="I9" s="16">
        <f t="shared" si="4"/>
        <v>3276</v>
      </c>
      <c r="J9" s="16">
        <f t="shared" si="5"/>
        <v>3276</v>
      </c>
      <c r="K9" s="16">
        <f t="shared" si="6"/>
        <v>3276</v>
      </c>
      <c r="L9" s="16">
        <f t="shared" si="7"/>
        <v>3276</v>
      </c>
      <c r="M9" s="16">
        <f t="shared" si="8"/>
        <v>0</v>
      </c>
      <c r="N9" s="16">
        <f t="shared" si="9"/>
        <v>0</v>
      </c>
      <c r="O9" s="16">
        <f t="shared" si="10"/>
        <v>0</v>
      </c>
      <c r="P9" s="16">
        <f t="shared" si="11"/>
        <v>0</v>
      </c>
      <c r="Q9" s="16">
        <f t="shared" si="12"/>
        <v>0</v>
      </c>
      <c r="R9" s="16">
        <f t="shared" si="13"/>
        <v>0</v>
      </c>
      <c r="S9" s="16">
        <f t="shared" si="14"/>
        <v>0</v>
      </c>
      <c r="T9" s="16">
        <f t="shared" si="15"/>
        <v>0</v>
      </c>
      <c r="U9" s="16">
        <f t="shared" si="16"/>
        <v>0</v>
      </c>
      <c r="V9" s="16">
        <f t="shared" si="17"/>
        <v>0</v>
      </c>
      <c r="W9" s="16">
        <f t="shared" si="18"/>
        <v>0</v>
      </c>
      <c r="X9" s="16">
        <f t="shared" si="19"/>
        <v>0</v>
      </c>
      <c r="Y9" s="16">
        <f t="shared" si="20"/>
        <v>0</v>
      </c>
      <c r="Z9" s="16">
        <f t="shared" si="21"/>
        <v>0</v>
      </c>
      <c r="AA9" s="16">
        <f t="shared" si="22"/>
        <v>0</v>
      </c>
      <c r="AB9" s="16">
        <f t="shared" si="23"/>
        <v>0</v>
      </c>
      <c r="AC9" s="16">
        <f t="shared" si="24"/>
        <v>0</v>
      </c>
      <c r="AD9" s="16">
        <f t="shared" si="25"/>
        <v>0</v>
      </c>
      <c r="AE9" s="16">
        <f t="shared" si="26"/>
        <v>0</v>
      </c>
      <c r="AF9" s="16">
        <f t="shared" si="27"/>
        <v>0</v>
      </c>
      <c r="AG9" s="16">
        <f t="shared" si="28"/>
        <v>0</v>
      </c>
      <c r="AH9" s="16">
        <f t="shared" si="29"/>
        <v>0</v>
      </c>
      <c r="AI9" s="16">
        <f t="shared" si="30"/>
        <v>0</v>
      </c>
      <c r="AJ9" s="16">
        <f t="shared" si="31"/>
        <v>0</v>
      </c>
      <c r="AK9" s="16"/>
      <c r="AL9" s="16"/>
      <c r="AM9" s="16">
        <f>IF(NOT(ISNUMBER('Registru mijloace fixe'!$R9)),0,MAX(0,MIN(((YEAR(LunaRef)-YEAR('Registru mijloace fixe'!$R9))*12+MONTH(LunaRef)-MONTH('Registru mijloace fixe'!$R9)+1)-1,IF(ISNUMBER('Registru mijloace fixe'!$N9),((YEAR('Registru mijloace fixe'!$N9)-YEAR('Registru mijloace fixe'!$R9))*12+MONTH('Registru mijloace fixe'!$N9)-MONTH('Registru mijloace fixe'!$R9)+1),9999),C9*12)))</f>
        <v>5</v>
      </c>
      <c r="AN9" s="27">
        <f>IF(NOT(ISNUMBER('Registru mijloace fixe'!$R9)),0,MAX(0,MIN(((YEAR(LunaRef)-YEAR('Registru mijloace fixe'!$R9))*12+MONTH(LunaRef)-MONTH('Registru mijloace fixe'!$R9)+1),IF(ISNUMBER('Registru mijloace fixe'!$N9),((YEAR('Registru mijloace fixe'!$N9)-YEAR('Registru mijloace fixe'!$R9))*12+MONTH('Registru mijloace fixe'!$N9)-MONTH('Registru mijloace fixe'!$R9)+1),9999),C9*12)))</f>
        <v>6</v>
      </c>
      <c r="AO9" s="16">
        <f t="shared" si="32"/>
        <v>15210</v>
      </c>
      <c r="AP9" s="16">
        <f t="shared" si="33"/>
        <v>12675</v>
      </c>
      <c r="AQ9" s="16">
        <f t="shared" si="34"/>
        <v>30420</v>
      </c>
      <c r="AR9" s="16">
        <f t="shared" si="35"/>
        <v>33696</v>
      </c>
      <c r="AS9" s="16">
        <f t="shared" si="36"/>
        <v>36972</v>
      </c>
      <c r="AT9" s="16">
        <f t="shared" si="37"/>
        <v>40248</v>
      </c>
      <c r="AU9" s="16">
        <f t="shared" si="38"/>
        <v>43524</v>
      </c>
      <c r="AV9" s="16">
        <f t="shared" si="39"/>
        <v>46800</v>
      </c>
      <c r="AW9" s="16">
        <f t="shared" si="40"/>
        <v>46800</v>
      </c>
      <c r="AX9" s="16">
        <f t="shared" si="41"/>
        <v>46800</v>
      </c>
      <c r="AY9" s="16">
        <f t="shared" si="42"/>
        <v>46800</v>
      </c>
      <c r="AZ9" s="16">
        <f t="shared" si="43"/>
        <v>46800</v>
      </c>
      <c r="BA9" s="16">
        <f t="shared" si="44"/>
        <v>46800</v>
      </c>
      <c r="BB9" s="16">
        <f t="shared" si="45"/>
        <v>46800</v>
      </c>
      <c r="BC9" s="16">
        <f t="shared" si="46"/>
        <v>46800</v>
      </c>
      <c r="BD9" s="16">
        <f t="shared" si="47"/>
        <v>46800</v>
      </c>
      <c r="BE9" s="16">
        <f t="shared" si="48"/>
        <v>46800</v>
      </c>
      <c r="BF9" s="16">
        <f t="shared" si="49"/>
        <v>46800</v>
      </c>
      <c r="BG9" s="16">
        <f t="shared" si="50"/>
        <v>46800</v>
      </c>
      <c r="BH9" s="16">
        <f t="shared" si="51"/>
        <v>46800</v>
      </c>
      <c r="BI9" s="16">
        <f t="shared" si="52"/>
        <v>46800</v>
      </c>
      <c r="BJ9" s="16">
        <f t="shared" si="53"/>
        <v>46800</v>
      </c>
      <c r="BK9" s="16">
        <f t="shared" si="54"/>
        <v>46800</v>
      </c>
      <c r="BL9" s="16">
        <f t="shared" si="55"/>
        <v>46800</v>
      </c>
      <c r="BM9" s="16">
        <f t="shared" si="56"/>
        <v>46800</v>
      </c>
      <c r="BN9" s="16">
        <f t="shared" si="57"/>
        <v>46800</v>
      </c>
      <c r="BO9" s="16">
        <f t="shared" si="58"/>
        <v>46800</v>
      </c>
      <c r="BP9" s="16">
        <f t="shared" si="59"/>
        <v>46800</v>
      </c>
      <c r="BQ9" s="16">
        <f t="shared" si="60"/>
        <v>46800</v>
      </c>
      <c r="BR9" s="16">
        <f t="shared" si="61"/>
        <v>46800</v>
      </c>
      <c r="BS9" s="16">
        <f t="shared" si="62"/>
        <v>46800</v>
      </c>
      <c r="BT9" s="16">
        <f t="shared" si="63"/>
        <v>46800</v>
      </c>
    </row>
    <row r="10" spans="2:72" x14ac:dyDescent="0.2">
      <c r="B10" s="16">
        <f>N('Registru mijloace fixe'!$I10)</f>
        <v>14200</v>
      </c>
      <c r="C10" s="27">
        <f>N('Registru mijloace fixe'!$J10)</f>
        <v>9</v>
      </c>
      <c r="D10" s="16" t="str">
        <f>'Registru mijloace fixe'!$K10&amp;""</f>
        <v>Liniară</v>
      </c>
      <c r="E10" s="16">
        <f t="shared" si="0"/>
        <v>2</v>
      </c>
      <c r="F10" s="16">
        <f t="shared" si="1"/>
        <v>0.5</v>
      </c>
      <c r="G10" s="16">
        <f t="shared" si="2"/>
        <v>1577.7777777777778</v>
      </c>
      <c r="H10" s="16">
        <f t="shared" si="3"/>
        <v>1577.7777777777778</v>
      </c>
      <c r="I10" s="16">
        <f t="shared" si="4"/>
        <v>1577.7777777777778</v>
      </c>
      <c r="J10" s="16">
        <f t="shared" si="5"/>
        <v>1577.7777777777778</v>
      </c>
      <c r="K10" s="16">
        <f t="shared" si="6"/>
        <v>1577.7777777777778</v>
      </c>
      <c r="L10" s="16">
        <f t="shared" si="7"/>
        <v>1577.7777777777778</v>
      </c>
      <c r="M10" s="16">
        <f t="shared" si="8"/>
        <v>1577.7777777777778</v>
      </c>
      <c r="N10" s="16">
        <f t="shared" si="9"/>
        <v>1577.7777777777778</v>
      </c>
      <c r="O10" s="16">
        <f t="shared" si="10"/>
        <v>1577.7777777777792</v>
      </c>
      <c r="P10" s="16">
        <f t="shared" si="11"/>
        <v>0</v>
      </c>
      <c r="Q10" s="16">
        <f t="shared" si="12"/>
        <v>0</v>
      </c>
      <c r="R10" s="16">
        <f t="shared" si="13"/>
        <v>0</v>
      </c>
      <c r="S10" s="16">
        <f t="shared" si="14"/>
        <v>0</v>
      </c>
      <c r="T10" s="16">
        <f t="shared" si="15"/>
        <v>0</v>
      </c>
      <c r="U10" s="16">
        <f t="shared" si="16"/>
        <v>0</v>
      </c>
      <c r="V10" s="16">
        <f t="shared" si="17"/>
        <v>0</v>
      </c>
      <c r="W10" s="16">
        <f t="shared" si="18"/>
        <v>0</v>
      </c>
      <c r="X10" s="16">
        <f t="shared" si="19"/>
        <v>0</v>
      </c>
      <c r="Y10" s="16">
        <f t="shared" si="20"/>
        <v>0</v>
      </c>
      <c r="Z10" s="16">
        <f t="shared" si="21"/>
        <v>0</v>
      </c>
      <c r="AA10" s="16">
        <f t="shared" si="22"/>
        <v>0</v>
      </c>
      <c r="AB10" s="16">
        <f t="shared" si="23"/>
        <v>0</v>
      </c>
      <c r="AC10" s="16">
        <f t="shared" si="24"/>
        <v>0</v>
      </c>
      <c r="AD10" s="16">
        <f t="shared" si="25"/>
        <v>0</v>
      </c>
      <c r="AE10" s="16">
        <f t="shared" si="26"/>
        <v>0</v>
      </c>
      <c r="AF10" s="16">
        <f t="shared" si="27"/>
        <v>0</v>
      </c>
      <c r="AG10" s="16">
        <f t="shared" si="28"/>
        <v>0</v>
      </c>
      <c r="AH10" s="16">
        <f t="shared" si="29"/>
        <v>0</v>
      </c>
      <c r="AI10" s="16">
        <f t="shared" si="30"/>
        <v>0</v>
      </c>
      <c r="AJ10" s="16">
        <f t="shared" si="31"/>
        <v>0</v>
      </c>
      <c r="AK10" s="16"/>
      <c r="AL10" s="16"/>
      <c r="AM10" s="16">
        <f>IF(NOT(ISNUMBER('Registru mijloace fixe'!$R10)),0,MAX(0,MIN(((YEAR(LunaRef)-YEAR('Registru mijloace fixe'!$R10))*12+MONTH(LunaRef)-MONTH('Registru mijloace fixe'!$R10)+1)-1,IF(ISNUMBER('Registru mijloace fixe'!$N10),((YEAR('Registru mijloace fixe'!$N10)-YEAR('Registru mijloace fixe'!$R10))*12+MONTH('Registru mijloace fixe'!$N10)-MONTH('Registru mijloace fixe'!$R10)+1),9999),C10*12)))</f>
        <v>63</v>
      </c>
      <c r="AN10" s="27">
        <f>IF(NOT(ISNUMBER('Registru mijloace fixe'!$R10)),0,MAX(0,MIN(((YEAR(LunaRef)-YEAR('Registru mijloace fixe'!$R10))*12+MONTH(LunaRef)-MONTH('Registru mijloace fixe'!$R10)+1),IF(ISNUMBER('Registru mijloace fixe'!$N10),((YEAR('Registru mijloace fixe'!$N10)-YEAR('Registru mijloace fixe'!$R10))*12+MONTH('Registru mijloace fixe'!$N10)-MONTH('Registru mijloace fixe'!$R10)+1),9999),C10*12)))</f>
        <v>64</v>
      </c>
      <c r="AO10" s="16">
        <f t="shared" si="32"/>
        <v>8414.8148148148157</v>
      </c>
      <c r="AP10" s="16">
        <f t="shared" si="33"/>
        <v>8283.3333333333339</v>
      </c>
      <c r="AQ10" s="16">
        <f t="shared" si="34"/>
        <v>1577.7777777777778</v>
      </c>
      <c r="AR10" s="16">
        <f t="shared" si="35"/>
        <v>3155.5555555555557</v>
      </c>
      <c r="AS10" s="16">
        <f t="shared" si="36"/>
        <v>4733.3333333333339</v>
      </c>
      <c r="AT10" s="16">
        <f t="shared" si="37"/>
        <v>6311.1111111111113</v>
      </c>
      <c r="AU10" s="16">
        <f t="shared" si="38"/>
        <v>7888.8888888888887</v>
      </c>
      <c r="AV10" s="16">
        <f t="shared" si="39"/>
        <v>9466.6666666666661</v>
      </c>
      <c r="AW10" s="16">
        <f t="shared" si="40"/>
        <v>11044.444444444443</v>
      </c>
      <c r="AX10" s="16">
        <f t="shared" si="41"/>
        <v>12622.222222222221</v>
      </c>
      <c r="AY10" s="16">
        <f t="shared" si="42"/>
        <v>14200</v>
      </c>
      <c r="AZ10" s="16">
        <f t="shared" si="43"/>
        <v>14200</v>
      </c>
      <c r="BA10" s="16">
        <f t="shared" si="44"/>
        <v>14200</v>
      </c>
      <c r="BB10" s="16">
        <f t="shared" si="45"/>
        <v>14200</v>
      </c>
      <c r="BC10" s="16">
        <f t="shared" si="46"/>
        <v>14200</v>
      </c>
      <c r="BD10" s="16">
        <f t="shared" si="47"/>
        <v>14200</v>
      </c>
      <c r="BE10" s="16">
        <f t="shared" si="48"/>
        <v>14200</v>
      </c>
      <c r="BF10" s="16">
        <f t="shared" si="49"/>
        <v>14200</v>
      </c>
      <c r="BG10" s="16">
        <f t="shared" si="50"/>
        <v>14200</v>
      </c>
      <c r="BH10" s="16">
        <f t="shared" si="51"/>
        <v>14200</v>
      </c>
      <c r="BI10" s="16">
        <f t="shared" si="52"/>
        <v>14200</v>
      </c>
      <c r="BJ10" s="16">
        <f t="shared" si="53"/>
        <v>14200</v>
      </c>
      <c r="BK10" s="16">
        <f t="shared" si="54"/>
        <v>14200</v>
      </c>
      <c r="BL10" s="16">
        <f t="shared" si="55"/>
        <v>14200</v>
      </c>
      <c r="BM10" s="16">
        <f t="shared" si="56"/>
        <v>14200</v>
      </c>
      <c r="BN10" s="16">
        <f t="shared" si="57"/>
        <v>14200</v>
      </c>
      <c r="BO10" s="16">
        <f t="shared" si="58"/>
        <v>14200</v>
      </c>
      <c r="BP10" s="16">
        <f t="shared" si="59"/>
        <v>14200</v>
      </c>
      <c r="BQ10" s="16">
        <f t="shared" si="60"/>
        <v>14200</v>
      </c>
      <c r="BR10" s="16">
        <f t="shared" si="61"/>
        <v>14200</v>
      </c>
      <c r="BS10" s="16">
        <f t="shared" si="62"/>
        <v>14200</v>
      </c>
      <c r="BT10" s="16">
        <f t="shared" si="63"/>
        <v>14200</v>
      </c>
    </row>
    <row r="11" spans="2:72" x14ac:dyDescent="0.2">
      <c r="B11" s="16">
        <f>N('Registru mijloace fixe'!$I11)</f>
        <v>6400</v>
      </c>
      <c r="C11" s="27">
        <f>N('Registru mijloace fixe'!$J11)</f>
        <v>3</v>
      </c>
      <c r="D11" s="16" t="str">
        <f>'Registru mijloace fixe'!$K11&amp;""</f>
        <v>Liniară</v>
      </c>
      <c r="E11" s="16">
        <f t="shared" si="0"/>
        <v>1.5</v>
      </c>
      <c r="F11" s="16">
        <f t="shared" si="1"/>
        <v>0.5</v>
      </c>
      <c r="G11" s="16">
        <f t="shared" si="2"/>
        <v>2133.3333333333335</v>
      </c>
      <c r="H11" s="16">
        <f t="shared" si="3"/>
        <v>2133.3333333333335</v>
      </c>
      <c r="I11" s="16">
        <f t="shared" si="4"/>
        <v>2133.333333333333</v>
      </c>
      <c r="J11" s="16">
        <f t="shared" si="5"/>
        <v>0</v>
      </c>
      <c r="K11" s="16">
        <f t="shared" si="6"/>
        <v>0</v>
      </c>
      <c r="L11" s="16">
        <f t="shared" si="7"/>
        <v>0</v>
      </c>
      <c r="M11" s="16">
        <f t="shared" si="8"/>
        <v>0</v>
      </c>
      <c r="N11" s="16">
        <f t="shared" si="9"/>
        <v>0</v>
      </c>
      <c r="O11" s="16">
        <f t="shared" si="10"/>
        <v>0</v>
      </c>
      <c r="P11" s="16">
        <f t="shared" si="11"/>
        <v>0</v>
      </c>
      <c r="Q11" s="16">
        <f t="shared" si="12"/>
        <v>0</v>
      </c>
      <c r="R11" s="16">
        <f t="shared" si="13"/>
        <v>0</v>
      </c>
      <c r="S11" s="16">
        <f t="shared" si="14"/>
        <v>0</v>
      </c>
      <c r="T11" s="16">
        <f t="shared" si="15"/>
        <v>0</v>
      </c>
      <c r="U11" s="16">
        <f t="shared" si="16"/>
        <v>0</v>
      </c>
      <c r="V11" s="16">
        <f t="shared" si="17"/>
        <v>0</v>
      </c>
      <c r="W11" s="16">
        <f t="shared" si="18"/>
        <v>0</v>
      </c>
      <c r="X11" s="16">
        <f t="shared" si="19"/>
        <v>0</v>
      </c>
      <c r="Y11" s="16">
        <f t="shared" si="20"/>
        <v>0</v>
      </c>
      <c r="Z11" s="16">
        <f t="shared" si="21"/>
        <v>0</v>
      </c>
      <c r="AA11" s="16">
        <f t="shared" si="22"/>
        <v>0</v>
      </c>
      <c r="AB11" s="16">
        <f t="shared" si="23"/>
        <v>0</v>
      </c>
      <c r="AC11" s="16">
        <f t="shared" si="24"/>
        <v>0</v>
      </c>
      <c r="AD11" s="16">
        <f t="shared" si="25"/>
        <v>0</v>
      </c>
      <c r="AE11" s="16">
        <f t="shared" si="26"/>
        <v>0</v>
      </c>
      <c r="AF11" s="16">
        <f t="shared" si="27"/>
        <v>0</v>
      </c>
      <c r="AG11" s="16">
        <f t="shared" si="28"/>
        <v>0</v>
      </c>
      <c r="AH11" s="16">
        <f t="shared" si="29"/>
        <v>0</v>
      </c>
      <c r="AI11" s="16">
        <f t="shared" si="30"/>
        <v>0</v>
      </c>
      <c r="AJ11" s="16">
        <f t="shared" si="31"/>
        <v>0</v>
      </c>
      <c r="AK11" s="16"/>
      <c r="AL11" s="16"/>
      <c r="AM11" s="16">
        <f>IF(NOT(ISNUMBER('Registru mijloace fixe'!$R11)),0,MAX(0,MIN(((YEAR(LunaRef)-YEAR('Registru mijloace fixe'!$R11))*12+MONTH(LunaRef)-MONTH('Registru mijloace fixe'!$R11)+1)-1,IF(ISNUMBER('Registru mijloace fixe'!$N11),((YEAR('Registru mijloace fixe'!$N11)-YEAR('Registru mijloace fixe'!$R11))*12+MONTH('Registru mijloace fixe'!$N11)-MONTH('Registru mijloace fixe'!$R11)+1),9999),C11*12)))</f>
        <v>36</v>
      </c>
      <c r="AN11" s="27">
        <f>IF(NOT(ISNUMBER('Registru mijloace fixe'!$R11)),0,MAX(0,MIN(((YEAR(LunaRef)-YEAR('Registru mijloace fixe'!$R11))*12+MONTH(LunaRef)-MONTH('Registru mijloace fixe'!$R11)+1),IF(ISNUMBER('Registru mijloace fixe'!$N11),((YEAR('Registru mijloace fixe'!$N11)-YEAR('Registru mijloace fixe'!$R11))*12+MONTH('Registru mijloace fixe'!$N11)-MONTH('Registru mijloace fixe'!$R11)+1),9999),C11*12)))</f>
        <v>36</v>
      </c>
      <c r="AO11" s="16">
        <f t="shared" si="32"/>
        <v>6400</v>
      </c>
      <c r="AP11" s="16">
        <f t="shared" si="33"/>
        <v>6400</v>
      </c>
      <c r="AQ11" s="16">
        <f t="shared" si="34"/>
        <v>2133.3333333333335</v>
      </c>
      <c r="AR11" s="16">
        <f t="shared" si="35"/>
        <v>4266.666666666667</v>
      </c>
      <c r="AS11" s="16">
        <f t="shared" si="36"/>
        <v>6400</v>
      </c>
      <c r="AT11" s="16">
        <f t="shared" si="37"/>
        <v>6400</v>
      </c>
      <c r="AU11" s="16">
        <f t="shared" si="38"/>
        <v>6400</v>
      </c>
      <c r="AV11" s="16">
        <f t="shared" si="39"/>
        <v>6400</v>
      </c>
      <c r="AW11" s="16">
        <f t="shared" si="40"/>
        <v>6400</v>
      </c>
      <c r="AX11" s="16">
        <f t="shared" si="41"/>
        <v>6400</v>
      </c>
      <c r="AY11" s="16">
        <f t="shared" si="42"/>
        <v>6400</v>
      </c>
      <c r="AZ11" s="16">
        <f t="shared" si="43"/>
        <v>6400</v>
      </c>
      <c r="BA11" s="16">
        <f t="shared" si="44"/>
        <v>6400</v>
      </c>
      <c r="BB11" s="16">
        <f t="shared" si="45"/>
        <v>6400</v>
      </c>
      <c r="BC11" s="16">
        <f t="shared" si="46"/>
        <v>6400</v>
      </c>
      <c r="BD11" s="16">
        <f t="shared" si="47"/>
        <v>6400</v>
      </c>
      <c r="BE11" s="16">
        <f t="shared" si="48"/>
        <v>6400</v>
      </c>
      <c r="BF11" s="16">
        <f t="shared" si="49"/>
        <v>6400</v>
      </c>
      <c r="BG11" s="16">
        <f t="shared" si="50"/>
        <v>6400</v>
      </c>
      <c r="BH11" s="16">
        <f t="shared" si="51"/>
        <v>6400</v>
      </c>
      <c r="BI11" s="16">
        <f t="shared" si="52"/>
        <v>6400</v>
      </c>
      <c r="BJ11" s="16">
        <f t="shared" si="53"/>
        <v>6400</v>
      </c>
      <c r="BK11" s="16">
        <f t="shared" si="54"/>
        <v>6400</v>
      </c>
      <c r="BL11" s="16">
        <f t="shared" si="55"/>
        <v>6400</v>
      </c>
      <c r="BM11" s="16">
        <f t="shared" si="56"/>
        <v>6400</v>
      </c>
      <c r="BN11" s="16">
        <f t="shared" si="57"/>
        <v>6400</v>
      </c>
      <c r="BO11" s="16">
        <f t="shared" si="58"/>
        <v>6400</v>
      </c>
      <c r="BP11" s="16">
        <f t="shared" si="59"/>
        <v>6400</v>
      </c>
      <c r="BQ11" s="16">
        <f t="shared" si="60"/>
        <v>6400</v>
      </c>
      <c r="BR11" s="16">
        <f t="shared" si="61"/>
        <v>6400</v>
      </c>
      <c r="BS11" s="16">
        <f t="shared" si="62"/>
        <v>6400</v>
      </c>
      <c r="BT11" s="16">
        <f t="shared" si="63"/>
        <v>6400</v>
      </c>
    </row>
    <row r="12" spans="2:72" x14ac:dyDescent="0.2">
      <c r="B12" s="16">
        <f>N('Registru mijloace fixe'!$I12)</f>
        <v>7900</v>
      </c>
      <c r="C12" s="27">
        <f>N('Registru mijloace fixe'!$J12)</f>
        <v>3</v>
      </c>
      <c r="D12" s="16" t="str">
        <f>'Registru mijloace fixe'!$K12&amp;""</f>
        <v>Liniară</v>
      </c>
      <c r="E12" s="16">
        <f t="shared" si="0"/>
        <v>1.5</v>
      </c>
      <c r="F12" s="16">
        <f t="shared" si="1"/>
        <v>0.5</v>
      </c>
      <c r="G12" s="16">
        <f t="shared" si="2"/>
        <v>2633.3333333333335</v>
      </c>
      <c r="H12" s="16">
        <f t="shared" si="3"/>
        <v>2633.3333333333335</v>
      </c>
      <c r="I12" s="16">
        <f t="shared" si="4"/>
        <v>2633.333333333333</v>
      </c>
      <c r="J12" s="16">
        <f t="shared" si="5"/>
        <v>0</v>
      </c>
      <c r="K12" s="16">
        <f t="shared" si="6"/>
        <v>0</v>
      </c>
      <c r="L12" s="16">
        <f t="shared" si="7"/>
        <v>0</v>
      </c>
      <c r="M12" s="16">
        <f t="shared" si="8"/>
        <v>0</v>
      </c>
      <c r="N12" s="16">
        <f t="shared" si="9"/>
        <v>0</v>
      </c>
      <c r="O12" s="16">
        <f t="shared" si="10"/>
        <v>0</v>
      </c>
      <c r="P12" s="16">
        <f t="shared" si="11"/>
        <v>0</v>
      </c>
      <c r="Q12" s="16">
        <f t="shared" si="12"/>
        <v>0</v>
      </c>
      <c r="R12" s="16">
        <f t="shared" si="13"/>
        <v>0</v>
      </c>
      <c r="S12" s="16">
        <f t="shared" si="14"/>
        <v>0</v>
      </c>
      <c r="T12" s="16">
        <f t="shared" si="15"/>
        <v>0</v>
      </c>
      <c r="U12" s="16">
        <f t="shared" si="16"/>
        <v>0</v>
      </c>
      <c r="V12" s="16">
        <f t="shared" si="17"/>
        <v>0</v>
      </c>
      <c r="W12" s="16">
        <f t="shared" si="18"/>
        <v>0</v>
      </c>
      <c r="X12" s="16">
        <f t="shared" si="19"/>
        <v>0</v>
      </c>
      <c r="Y12" s="16">
        <f t="shared" si="20"/>
        <v>0</v>
      </c>
      <c r="Z12" s="16">
        <f t="shared" si="21"/>
        <v>0</v>
      </c>
      <c r="AA12" s="16">
        <f t="shared" si="22"/>
        <v>0</v>
      </c>
      <c r="AB12" s="16">
        <f t="shared" si="23"/>
        <v>0</v>
      </c>
      <c r="AC12" s="16">
        <f t="shared" si="24"/>
        <v>0</v>
      </c>
      <c r="AD12" s="16">
        <f t="shared" si="25"/>
        <v>0</v>
      </c>
      <c r="AE12" s="16">
        <f t="shared" si="26"/>
        <v>0</v>
      </c>
      <c r="AF12" s="16">
        <f t="shared" si="27"/>
        <v>0</v>
      </c>
      <c r="AG12" s="16">
        <f t="shared" si="28"/>
        <v>0</v>
      </c>
      <c r="AH12" s="16">
        <f t="shared" si="29"/>
        <v>0</v>
      </c>
      <c r="AI12" s="16">
        <f t="shared" si="30"/>
        <v>0</v>
      </c>
      <c r="AJ12" s="16">
        <f t="shared" si="31"/>
        <v>0</v>
      </c>
      <c r="AK12" s="16"/>
      <c r="AL12" s="16"/>
      <c r="AM12" s="16">
        <f>IF(NOT(ISNUMBER('Registru mijloace fixe'!$R12)),0,MAX(0,MIN(((YEAR(LunaRef)-YEAR('Registru mijloace fixe'!$R12))*12+MONTH(LunaRef)-MONTH('Registru mijloace fixe'!$R12)+1)-1,IF(ISNUMBER('Registru mijloace fixe'!$N12),((YEAR('Registru mijloace fixe'!$N12)-YEAR('Registru mijloace fixe'!$R12))*12+MONTH('Registru mijloace fixe'!$N12)-MONTH('Registru mijloace fixe'!$R12)+1),9999),C12*12)))</f>
        <v>36</v>
      </c>
      <c r="AN12" s="27">
        <f>IF(NOT(ISNUMBER('Registru mijloace fixe'!$R12)),0,MAX(0,MIN(((YEAR(LunaRef)-YEAR('Registru mijloace fixe'!$R12))*12+MONTH(LunaRef)-MONTH('Registru mijloace fixe'!$R12)+1),IF(ISNUMBER('Registru mijloace fixe'!$N12),((YEAR('Registru mijloace fixe'!$N12)-YEAR('Registru mijloace fixe'!$R12))*12+MONTH('Registru mijloace fixe'!$N12)-MONTH('Registru mijloace fixe'!$R12)+1),9999),C12*12)))</f>
        <v>36</v>
      </c>
      <c r="AO12" s="16">
        <f t="shared" si="32"/>
        <v>7900</v>
      </c>
      <c r="AP12" s="16">
        <f t="shared" si="33"/>
        <v>7900</v>
      </c>
      <c r="AQ12" s="16">
        <f t="shared" si="34"/>
        <v>2633.3333333333335</v>
      </c>
      <c r="AR12" s="16">
        <f t="shared" si="35"/>
        <v>5266.666666666667</v>
      </c>
      <c r="AS12" s="16">
        <f t="shared" si="36"/>
        <v>7900</v>
      </c>
      <c r="AT12" s="16">
        <f t="shared" si="37"/>
        <v>7900</v>
      </c>
      <c r="AU12" s="16">
        <f t="shared" si="38"/>
        <v>7900</v>
      </c>
      <c r="AV12" s="16">
        <f t="shared" si="39"/>
        <v>7900</v>
      </c>
      <c r="AW12" s="16">
        <f t="shared" si="40"/>
        <v>7900</v>
      </c>
      <c r="AX12" s="16">
        <f t="shared" si="41"/>
        <v>7900</v>
      </c>
      <c r="AY12" s="16">
        <f t="shared" si="42"/>
        <v>7900</v>
      </c>
      <c r="AZ12" s="16">
        <f t="shared" si="43"/>
        <v>7900</v>
      </c>
      <c r="BA12" s="16">
        <f t="shared" si="44"/>
        <v>7900</v>
      </c>
      <c r="BB12" s="16">
        <f t="shared" si="45"/>
        <v>7900</v>
      </c>
      <c r="BC12" s="16">
        <f t="shared" si="46"/>
        <v>7900</v>
      </c>
      <c r="BD12" s="16">
        <f t="shared" si="47"/>
        <v>7900</v>
      </c>
      <c r="BE12" s="16">
        <f t="shared" si="48"/>
        <v>7900</v>
      </c>
      <c r="BF12" s="16">
        <f t="shared" si="49"/>
        <v>7900</v>
      </c>
      <c r="BG12" s="16">
        <f t="shared" si="50"/>
        <v>7900</v>
      </c>
      <c r="BH12" s="16">
        <f t="shared" si="51"/>
        <v>7900</v>
      </c>
      <c r="BI12" s="16">
        <f t="shared" si="52"/>
        <v>7900</v>
      </c>
      <c r="BJ12" s="16">
        <f t="shared" si="53"/>
        <v>7900</v>
      </c>
      <c r="BK12" s="16">
        <f t="shared" si="54"/>
        <v>7900</v>
      </c>
      <c r="BL12" s="16">
        <f t="shared" si="55"/>
        <v>7900</v>
      </c>
      <c r="BM12" s="16">
        <f t="shared" si="56"/>
        <v>7900</v>
      </c>
      <c r="BN12" s="16">
        <f t="shared" si="57"/>
        <v>7900</v>
      </c>
      <c r="BO12" s="16">
        <f t="shared" si="58"/>
        <v>7900</v>
      </c>
      <c r="BP12" s="16">
        <f t="shared" si="59"/>
        <v>7900</v>
      </c>
      <c r="BQ12" s="16">
        <f t="shared" si="60"/>
        <v>7900</v>
      </c>
      <c r="BR12" s="16">
        <f t="shared" si="61"/>
        <v>7900</v>
      </c>
      <c r="BS12" s="16">
        <f t="shared" si="62"/>
        <v>7900</v>
      </c>
      <c r="BT12" s="16">
        <f t="shared" si="63"/>
        <v>7900</v>
      </c>
    </row>
    <row r="13" spans="2:72" x14ac:dyDescent="0.2">
      <c r="B13" s="16">
        <f>N('Registru mijloace fixe'!$I13)</f>
        <v>4200</v>
      </c>
      <c r="C13" s="27">
        <f>N('Registru mijloace fixe'!$J13)</f>
        <v>5</v>
      </c>
      <c r="D13" s="16" t="str">
        <f>'Registru mijloace fixe'!$K13&amp;""</f>
        <v>Liniară</v>
      </c>
      <c r="E13" s="16">
        <f t="shared" si="0"/>
        <v>1.5</v>
      </c>
      <c r="F13" s="16">
        <f t="shared" si="1"/>
        <v>0.5</v>
      </c>
      <c r="G13" s="16">
        <f t="shared" si="2"/>
        <v>840</v>
      </c>
      <c r="H13" s="16">
        <f t="shared" si="3"/>
        <v>840</v>
      </c>
      <c r="I13" s="16">
        <f t="shared" si="4"/>
        <v>840</v>
      </c>
      <c r="J13" s="16">
        <f t="shared" si="5"/>
        <v>840</v>
      </c>
      <c r="K13" s="16">
        <f t="shared" si="6"/>
        <v>840</v>
      </c>
      <c r="L13" s="16">
        <f t="shared" si="7"/>
        <v>0</v>
      </c>
      <c r="M13" s="16">
        <f t="shared" si="8"/>
        <v>0</v>
      </c>
      <c r="N13" s="16">
        <f t="shared" si="9"/>
        <v>0</v>
      </c>
      <c r="O13" s="16">
        <f t="shared" si="10"/>
        <v>0</v>
      </c>
      <c r="P13" s="16">
        <f t="shared" si="11"/>
        <v>0</v>
      </c>
      <c r="Q13" s="16">
        <f t="shared" si="12"/>
        <v>0</v>
      </c>
      <c r="R13" s="16">
        <f t="shared" si="13"/>
        <v>0</v>
      </c>
      <c r="S13" s="16">
        <f t="shared" si="14"/>
        <v>0</v>
      </c>
      <c r="T13" s="16">
        <f t="shared" si="15"/>
        <v>0</v>
      </c>
      <c r="U13" s="16">
        <f t="shared" si="16"/>
        <v>0</v>
      </c>
      <c r="V13" s="16">
        <f t="shared" si="17"/>
        <v>0</v>
      </c>
      <c r="W13" s="16">
        <f t="shared" si="18"/>
        <v>0</v>
      </c>
      <c r="X13" s="16">
        <f t="shared" si="19"/>
        <v>0</v>
      </c>
      <c r="Y13" s="16">
        <f t="shared" si="20"/>
        <v>0</v>
      </c>
      <c r="Z13" s="16">
        <f t="shared" si="21"/>
        <v>0</v>
      </c>
      <c r="AA13" s="16">
        <f t="shared" si="22"/>
        <v>0</v>
      </c>
      <c r="AB13" s="16">
        <f t="shared" si="23"/>
        <v>0</v>
      </c>
      <c r="AC13" s="16">
        <f t="shared" si="24"/>
        <v>0</v>
      </c>
      <c r="AD13" s="16">
        <f t="shared" si="25"/>
        <v>0</v>
      </c>
      <c r="AE13" s="16">
        <f t="shared" si="26"/>
        <v>0</v>
      </c>
      <c r="AF13" s="16">
        <f t="shared" si="27"/>
        <v>0</v>
      </c>
      <c r="AG13" s="16">
        <f t="shared" si="28"/>
        <v>0</v>
      </c>
      <c r="AH13" s="16">
        <f t="shared" si="29"/>
        <v>0</v>
      </c>
      <c r="AI13" s="16">
        <f t="shared" si="30"/>
        <v>0</v>
      </c>
      <c r="AJ13" s="16">
        <f t="shared" si="31"/>
        <v>0</v>
      </c>
      <c r="AK13" s="16"/>
      <c r="AL13" s="16"/>
      <c r="AM13" s="16">
        <f>IF(NOT(ISNUMBER('Registru mijloace fixe'!$R13)),0,MAX(0,MIN(((YEAR(LunaRef)-YEAR('Registru mijloace fixe'!$R13))*12+MONTH(LunaRef)-MONTH('Registru mijloace fixe'!$R13)+1)-1,IF(ISNUMBER('Registru mijloace fixe'!$N13),((YEAR('Registru mijloace fixe'!$N13)-YEAR('Registru mijloace fixe'!$R13))*12+MONTH('Registru mijloace fixe'!$N13)-MONTH('Registru mijloace fixe'!$R13)+1),9999),C13*12)))</f>
        <v>2</v>
      </c>
      <c r="AN13" s="27">
        <f>IF(NOT(ISNUMBER('Registru mijloace fixe'!$R13)),0,MAX(0,MIN(((YEAR(LunaRef)-YEAR('Registru mijloace fixe'!$R13))*12+MONTH(LunaRef)-MONTH('Registru mijloace fixe'!$R13)+1),IF(ISNUMBER('Registru mijloace fixe'!$N13),((YEAR('Registru mijloace fixe'!$N13)-YEAR('Registru mijloace fixe'!$R13))*12+MONTH('Registru mijloace fixe'!$N13)-MONTH('Registru mijloace fixe'!$R13)+1),9999),C13*12)))</f>
        <v>3</v>
      </c>
      <c r="AO13" s="16">
        <f t="shared" si="32"/>
        <v>210</v>
      </c>
      <c r="AP13" s="16">
        <f t="shared" si="33"/>
        <v>140</v>
      </c>
      <c r="AQ13" s="16">
        <f t="shared" si="34"/>
        <v>840</v>
      </c>
      <c r="AR13" s="16">
        <f t="shared" si="35"/>
        <v>1680</v>
      </c>
      <c r="AS13" s="16">
        <f t="shared" si="36"/>
        <v>2520</v>
      </c>
      <c r="AT13" s="16">
        <f t="shared" si="37"/>
        <v>3360</v>
      </c>
      <c r="AU13" s="16">
        <f t="shared" si="38"/>
        <v>4200</v>
      </c>
      <c r="AV13" s="16">
        <f t="shared" si="39"/>
        <v>4200</v>
      </c>
      <c r="AW13" s="16">
        <f t="shared" si="40"/>
        <v>4200</v>
      </c>
      <c r="AX13" s="16">
        <f t="shared" si="41"/>
        <v>4200</v>
      </c>
      <c r="AY13" s="16">
        <f t="shared" si="42"/>
        <v>4200</v>
      </c>
      <c r="AZ13" s="16">
        <f t="shared" si="43"/>
        <v>4200</v>
      </c>
      <c r="BA13" s="16">
        <f t="shared" si="44"/>
        <v>4200</v>
      </c>
      <c r="BB13" s="16">
        <f t="shared" si="45"/>
        <v>4200</v>
      </c>
      <c r="BC13" s="16">
        <f t="shared" si="46"/>
        <v>4200</v>
      </c>
      <c r="BD13" s="16">
        <f t="shared" si="47"/>
        <v>4200</v>
      </c>
      <c r="BE13" s="16">
        <f t="shared" si="48"/>
        <v>4200</v>
      </c>
      <c r="BF13" s="16">
        <f t="shared" si="49"/>
        <v>4200</v>
      </c>
      <c r="BG13" s="16">
        <f t="shared" si="50"/>
        <v>4200</v>
      </c>
      <c r="BH13" s="16">
        <f t="shared" si="51"/>
        <v>4200</v>
      </c>
      <c r="BI13" s="16">
        <f t="shared" si="52"/>
        <v>4200</v>
      </c>
      <c r="BJ13" s="16">
        <f t="shared" si="53"/>
        <v>4200</v>
      </c>
      <c r="BK13" s="16">
        <f t="shared" si="54"/>
        <v>4200</v>
      </c>
      <c r="BL13" s="16">
        <f t="shared" si="55"/>
        <v>4200</v>
      </c>
      <c r="BM13" s="16">
        <f t="shared" si="56"/>
        <v>4200</v>
      </c>
      <c r="BN13" s="16">
        <f t="shared" si="57"/>
        <v>4200</v>
      </c>
      <c r="BO13" s="16">
        <f t="shared" si="58"/>
        <v>4200</v>
      </c>
      <c r="BP13" s="16">
        <f t="shared" si="59"/>
        <v>4200</v>
      </c>
      <c r="BQ13" s="16">
        <f t="shared" si="60"/>
        <v>4200</v>
      </c>
      <c r="BR13" s="16">
        <f t="shared" si="61"/>
        <v>4200</v>
      </c>
      <c r="BS13" s="16">
        <f t="shared" si="62"/>
        <v>4200</v>
      </c>
      <c r="BT13" s="16">
        <f t="shared" si="63"/>
        <v>4200</v>
      </c>
    </row>
    <row r="14" spans="2:72" x14ac:dyDescent="0.2">
      <c r="B14" s="16">
        <f>N('Registru mijloace fixe'!$I14)</f>
        <v>22000</v>
      </c>
      <c r="C14" s="27">
        <f>N('Registru mijloace fixe'!$J14)</f>
        <v>10</v>
      </c>
      <c r="D14" s="16" t="str">
        <f>'Registru mijloace fixe'!$K14&amp;""</f>
        <v>Liniară</v>
      </c>
      <c r="E14" s="16">
        <f t="shared" si="0"/>
        <v>2</v>
      </c>
      <c r="F14" s="16">
        <f t="shared" si="1"/>
        <v>0.5</v>
      </c>
      <c r="G14" s="16">
        <f t="shared" si="2"/>
        <v>2200</v>
      </c>
      <c r="H14" s="16">
        <f t="shared" si="3"/>
        <v>2200</v>
      </c>
      <c r="I14" s="16">
        <f t="shared" si="4"/>
        <v>2200</v>
      </c>
      <c r="J14" s="16">
        <f t="shared" si="5"/>
        <v>2200</v>
      </c>
      <c r="K14" s="16">
        <f t="shared" si="6"/>
        <v>2200</v>
      </c>
      <c r="L14" s="16">
        <f t="shared" si="7"/>
        <v>2200</v>
      </c>
      <c r="M14" s="16">
        <f t="shared" si="8"/>
        <v>2200</v>
      </c>
      <c r="N14" s="16">
        <f t="shared" si="9"/>
        <v>2200</v>
      </c>
      <c r="O14" s="16">
        <f t="shared" si="10"/>
        <v>2200</v>
      </c>
      <c r="P14" s="16">
        <f t="shared" si="11"/>
        <v>2200</v>
      </c>
      <c r="Q14" s="16">
        <f t="shared" si="12"/>
        <v>0</v>
      </c>
      <c r="R14" s="16">
        <f t="shared" si="13"/>
        <v>0</v>
      </c>
      <c r="S14" s="16">
        <f t="shared" si="14"/>
        <v>0</v>
      </c>
      <c r="T14" s="16">
        <f t="shared" si="15"/>
        <v>0</v>
      </c>
      <c r="U14" s="16">
        <f t="shared" si="16"/>
        <v>0</v>
      </c>
      <c r="V14" s="16">
        <f t="shared" si="17"/>
        <v>0</v>
      </c>
      <c r="W14" s="16">
        <f t="shared" si="18"/>
        <v>0</v>
      </c>
      <c r="X14" s="16">
        <f t="shared" si="19"/>
        <v>0</v>
      </c>
      <c r="Y14" s="16">
        <f t="shared" si="20"/>
        <v>0</v>
      </c>
      <c r="Z14" s="16">
        <f t="shared" si="21"/>
        <v>0</v>
      </c>
      <c r="AA14" s="16">
        <f t="shared" si="22"/>
        <v>0</v>
      </c>
      <c r="AB14" s="16">
        <f t="shared" si="23"/>
        <v>0</v>
      </c>
      <c r="AC14" s="16">
        <f t="shared" si="24"/>
        <v>0</v>
      </c>
      <c r="AD14" s="16">
        <f t="shared" si="25"/>
        <v>0</v>
      </c>
      <c r="AE14" s="16">
        <f t="shared" si="26"/>
        <v>0</v>
      </c>
      <c r="AF14" s="16">
        <f t="shared" si="27"/>
        <v>0</v>
      </c>
      <c r="AG14" s="16">
        <f t="shared" si="28"/>
        <v>0</v>
      </c>
      <c r="AH14" s="16">
        <f t="shared" si="29"/>
        <v>0</v>
      </c>
      <c r="AI14" s="16">
        <f t="shared" si="30"/>
        <v>0</v>
      </c>
      <c r="AJ14" s="16">
        <f t="shared" si="31"/>
        <v>0</v>
      </c>
      <c r="AK14" s="16"/>
      <c r="AL14" s="16"/>
      <c r="AM14" s="16">
        <f>IF(NOT(ISNUMBER('Registru mijloace fixe'!$R14)),0,MAX(0,MIN(((YEAR(LunaRef)-YEAR('Registru mijloace fixe'!$R14))*12+MONTH(LunaRef)-MONTH('Registru mijloace fixe'!$R14)+1)-1,IF(ISNUMBER('Registru mijloace fixe'!$N14),((YEAR('Registru mijloace fixe'!$N14)-YEAR('Registru mijloace fixe'!$R14))*12+MONTH('Registru mijloace fixe'!$N14)-MONTH('Registru mijloace fixe'!$R14)+1),9999),C14*12)))</f>
        <v>100</v>
      </c>
      <c r="AN14" s="27">
        <f>IF(NOT(ISNUMBER('Registru mijloace fixe'!$R14)),0,MAX(0,MIN(((YEAR(LunaRef)-YEAR('Registru mijloace fixe'!$R14))*12+MONTH(LunaRef)-MONTH('Registru mijloace fixe'!$R14)+1),IF(ISNUMBER('Registru mijloace fixe'!$N14),((YEAR('Registru mijloace fixe'!$N14)-YEAR('Registru mijloace fixe'!$R14))*12+MONTH('Registru mijloace fixe'!$N14)-MONTH('Registru mijloace fixe'!$R14)+1),9999),C14*12)))</f>
        <v>101</v>
      </c>
      <c r="AO14" s="16">
        <f t="shared" si="32"/>
        <v>18516.666666666668</v>
      </c>
      <c r="AP14" s="16">
        <f t="shared" si="33"/>
        <v>18333.333333333332</v>
      </c>
      <c r="AQ14" s="16">
        <f t="shared" si="34"/>
        <v>2200</v>
      </c>
      <c r="AR14" s="16">
        <f t="shared" si="35"/>
        <v>4400</v>
      </c>
      <c r="AS14" s="16">
        <f t="shared" si="36"/>
        <v>6600</v>
      </c>
      <c r="AT14" s="16">
        <f t="shared" si="37"/>
        <v>8800</v>
      </c>
      <c r="AU14" s="16">
        <f t="shared" si="38"/>
        <v>11000</v>
      </c>
      <c r="AV14" s="16">
        <f t="shared" si="39"/>
        <v>13200</v>
      </c>
      <c r="AW14" s="16">
        <f t="shared" si="40"/>
        <v>15400</v>
      </c>
      <c r="AX14" s="16">
        <f t="shared" si="41"/>
        <v>17600</v>
      </c>
      <c r="AY14" s="16">
        <f t="shared" si="42"/>
        <v>19800</v>
      </c>
      <c r="AZ14" s="16">
        <f t="shared" si="43"/>
        <v>22000</v>
      </c>
      <c r="BA14" s="16">
        <f t="shared" si="44"/>
        <v>22000</v>
      </c>
      <c r="BB14" s="16">
        <f t="shared" si="45"/>
        <v>22000</v>
      </c>
      <c r="BC14" s="16">
        <f t="shared" si="46"/>
        <v>22000</v>
      </c>
      <c r="BD14" s="16">
        <f t="shared" si="47"/>
        <v>22000</v>
      </c>
      <c r="BE14" s="16">
        <f t="shared" si="48"/>
        <v>22000</v>
      </c>
      <c r="BF14" s="16">
        <f t="shared" si="49"/>
        <v>22000</v>
      </c>
      <c r="BG14" s="16">
        <f t="shared" si="50"/>
        <v>22000</v>
      </c>
      <c r="BH14" s="16">
        <f t="shared" si="51"/>
        <v>22000</v>
      </c>
      <c r="BI14" s="16">
        <f t="shared" si="52"/>
        <v>22000</v>
      </c>
      <c r="BJ14" s="16">
        <f t="shared" si="53"/>
        <v>22000</v>
      </c>
      <c r="BK14" s="16">
        <f t="shared" si="54"/>
        <v>22000</v>
      </c>
      <c r="BL14" s="16">
        <f t="shared" si="55"/>
        <v>22000</v>
      </c>
      <c r="BM14" s="16">
        <f t="shared" si="56"/>
        <v>22000</v>
      </c>
      <c r="BN14" s="16">
        <f t="shared" si="57"/>
        <v>22000</v>
      </c>
      <c r="BO14" s="16">
        <f t="shared" si="58"/>
        <v>22000</v>
      </c>
      <c r="BP14" s="16">
        <f t="shared" si="59"/>
        <v>22000</v>
      </c>
      <c r="BQ14" s="16">
        <f t="shared" si="60"/>
        <v>22000</v>
      </c>
      <c r="BR14" s="16">
        <f t="shared" si="61"/>
        <v>22000</v>
      </c>
      <c r="BS14" s="16">
        <f t="shared" si="62"/>
        <v>22000</v>
      </c>
      <c r="BT14" s="16">
        <f t="shared" si="63"/>
        <v>22000</v>
      </c>
    </row>
    <row r="15" spans="2:72" x14ac:dyDescent="0.2">
      <c r="B15" s="16">
        <f>N('Registru mijloace fixe'!$I15)</f>
        <v>0</v>
      </c>
      <c r="C15" s="27">
        <f>N('Registru mijloace fixe'!$J15)</f>
        <v>0</v>
      </c>
      <c r="D15" s="16" t="str">
        <f>'Registru mijloace fixe'!$K15&amp;""</f>
        <v/>
      </c>
      <c r="E15" s="16">
        <f t="shared" si="0"/>
        <v>1.5</v>
      </c>
      <c r="F15" s="16">
        <f t="shared" si="1"/>
        <v>0.5</v>
      </c>
      <c r="G15" s="16">
        <f t="shared" si="2"/>
        <v>0</v>
      </c>
      <c r="H15" s="16">
        <f t="shared" si="3"/>
        <v>0</v>
      </c>
      <c r="I15" s="16">
        <f t="shared" si="4"/>
        <v>0</v>
      </c>
      <c r="J15" s="16">
        <f t="shared" si="5"/>
        <v>0</v>
      </c>
      <c r="K15" s="16">
        <f t="shared" si="6"/>
        <v>0</v>
      </c>
      <c r="L15" s="16">
        <f t="shared" si="7"/>
        <v>0</v>
      </c>
      <c r="M15" s="16">
        <f t="shared" si="8"/>
        <v>0</v>
      </c>
      <c r="N15" s="16">
        <f t="shared" si="9"/>
        <v>0</v>
      </c>
      <c r="O15" s="16">
        <f t="shared" si="10"/>
        <v>0</v>
      </c>
      <c r="P15" s="16">
        <f t="shared" si="11"/>
        <v>0</v>
      </c>
      <c r="Q15" s="16">
        <f t="shared" si="12"/>
        <v>0</v>
      </c>
      <c r="R15" s="16">
        <f t="shared" si="13"/>
        <v>0</v>
      </c>
      <c r="S15" s="16">
        <f t="shared" si="14"/>
        <v>0</v>
      </c>
      <c r="T15" s="16">
        <f t="shared" si="15"/>
        <v>0</v>
      </c>
      <c r="U15" s="16">
        <f t="shared" si="16"/>
        <v>0</v>
      </c>
      <c r="V15" s="16">
        <f t="shared" si="17"/>
        <v>0</v>
      </c>
      <c r="W15" s="16">
        <f t="shared" si="18"/>
        <v>0</v>
      </c>
      <c r="X15" s="16">
        <f t="shared" si="19"/>
        <v>0</v>
      </c>
      <c r="Y15" s="16">
        <f t="shared" si="20"/>
        <v>0</v>
      </c>
      <c r="Z15" s="16">
        <f t="shared" si="21"/>
        <v>0</v>
      </c>
      <c r="AA15" s="16">
        <f t="shared" si="22"/>
        <v>0</v>
      </c>
      <c r="AB15" s="16">
        <f t="shared" si="23"/>
        <v>0</v>
      </c>
      <c r="AC15" s="16">
        <f t="shared" si="24"/>
        <v>0</v>
      </c>
      <c r="AD15" s="16">
        <f t="shared" si="25"/>
        <v>0</v>
      </c>
      <c r="AE15" s="16">
        <f t="shared" si="26"/>
        <v>0</v>
      </c>
      <c r="AF15" s="16">
        <f t="shared" si="27"/>
        <v>0</v>
      </c>
      <c r="AG15" s="16">
        <f t="shared" si="28"/>
        <v>0</v>
      </c>
      <c r="AH15" s="16">
        <f t="shared" si="29"/>
        <v>0</v>
      </c>
      <c r="AI15" s="16">
        <f t="shared" si="30"/>
        <v>0</v>
      </c>
      <c r="AJ15" s="16">
        <f t="shared" si="31"/>
        <v>0</v>
      </c>
      <c r="AK15" s="16"/>
      <c r="AL15" s="16"/>
      <c r="AM15" s="16">
        <f>IF(NOT(ISNUMBER('Registru mijloace fixe'!$R15)),0,MAX(0,MIN(((YEAR(LunaRef)-YEAR('Registru mijloace fixe'!$R15))*12+MONTH(LunaRef)-MONTH('Registru mijloace fixe'!$R15)+1)-1,IF(ISNUMBER('Registru mijloace fixe'!$N15),((YEAR('Registru mijloace fixe'!$N15)-YEAR('Registru mijloace fixe'!$R15))*12+MONTH('Registru mijloace fixe'!$N15)-MONTH('Registru mijloace fixe'!$R15)+1),9999),C15*12)))</f>
        <v>0</v>
      </c>
      <c r="AN15" s="27">
        <f>IF(NOT(ISNUMBER('Registru mijloace fixe'!$R15)),0,MAX(0,MIN(((YEAR(LunaRef)-YEAR('Registru mijloace fixe'!$R15))*12+MONTH(LunaRef)-MONTH('Registru mijloace fixe'!$R15)+1),IF(ISNUMBER('Registru mijloace fixe'!$N15),((YEAR('Registru mijloace fixe'!$N15)-YEAR('Registru mijloace fixe'!$R15))*12+MONTH('Registru mijloace fixe'!$N15)-MONTH('Registru mijloace fixe'!$R15)+1),9999),C15*12)))</f>
        <v>0</v>
      </c>
      <c r="AO15" s="16">
        <f t="shared" si="32"/>
        <v>0</v>
      </c>
      <c r="AP15" s="16">
        <f t="shared" si="33"/>
        <v>0</v>
      </c>
      <c r="AQ15" s="16">
        <f t="shared" si="34"/>
        <v>0</v>
      </c>
      <c r="AR15" s="16">
        <f t="shared" si="35"/>
        <v>0</v>
      </c>
      <c r="AS15" s="16">
        <f t="shared" si="36"/>
        <v>0</v>
      </c>
      <c r="AT15" s="16">
        <f t="shared" si="37"/>
        <v>0</v>
      </c>
      <c r="AU15" s="16">
        <f t="shared" si="38"/>
        <v>0</v>
      </c>
      <c r="AV15" s="16">
        <f t="shared" si="39"/>
        <v>0</v>
      </c>
      <c r="AW15" s="16">
        <f t="shared" si="40"/>
        <v>0</v>
      </c>
      <c r="AX15" s="16">
        <f t="shared" si="41"/>
        <v>0</v>
      </c>
      <c r="AY15" s="16">
        <f t="shared" si="42"/>
        <v>0</v>
      </c>
      <c r="AZ15" s="16">
        <f t="shared" si="43"/>
        <v>0</v>
      </c>
      <c r="BA15" s="16">
        <f t="shared" si="44"/>
        <v>0</v>
      </c>
      <c r="BB15" s="16">
        <f t="shared" si="45"/>
        <v>0</v>
      </c>
      <c r="BC15" s="16">
        <f t="shared" si="46"/>
        <v>0</v>
      </c>
      <c r="BD15" s="16">
        <f t="shared" si="47"/>
        <v>0</v>
      </c>
      <c r="BE15" s="16">
        <f t="shared" si="48"/>
        <v>0</v>
      </c>
      <c r="BF15" s="16">
        <f t="shared" si="49"/>
        <v>0</v>
      </c>
      <c r="BG15" s="16">
        <f t="shared" si="50"/>
        <v>0</v>
      </c>
      <c r="BH15" s="16">
        <f t="shared" si="51"/>
        <v>0</v>
      </c>
      <c r="BI15" s="16">
        <f t="shared" si="52"/>
        <v>0</v>
      </c>
      <c r="BJ15" s="16">
        <f t="shared" si="53"/>
        <v>0</v>
      </c>
      <c r="BK15" s="16">
        <f t="shared" si="54"/>
        <v>0</v>
      </c>
      <c r="BL15" s="16">
        <f t="shared" si="55"/>
        <v>0</v>
      </c>
      <c r="BM15" s="16">
        <f t="shared" si="56"/>
        <v>0</v>
      </c>
      <c r="BN15" s="16">
        <f t="shared" si="57"/>
        <v>0</v>
      </c>
      <c r="BO15" s="16">
        <f t="shared" si="58"/>
        <v>0</v>
      </c>
      <c r="BP15" s="16">
        <f t="shared" si="59"/>
        <v>0</v>
      </c>
      <c r="BQ15" s="16">
        <f t="shared" si="60"/>
        <v>0</v>
      </c>
      <c r="BR15" s="16">
        <f t="shared" si="61"/>
        <v>0</v>
      </c>
      <c r="BS15" s="16">
        <f t="shared" si="62"/>
        <v>0</v>
      </c>
      <c r="BT15" s="16">
        <f t="shared" si="63"/>
        <v>0</v>
      </c>
    </row>
    <row r="16" spans="2:72" x14ac:dyDescent="0.2">
      <c r="B16" s="16">
        <f>N('Registru mijloace fixe'!$I16)</f>
        <v>0</v>
      </c>
      <c r="C16" s="27">
        <f>N('Registru mijloace fixe'!$J16)</f>
        <v>0</v>
      </c>
      <c r="D16" s="16" t="str">
        <f>'Registru mijloace fixe'!$K16&amp;""</f>
        <v/>
      </c>
      <c r="E16" s="16">
        <f t="shared" si="0"/>
        <v>1.5</v>
      </c>
      <c r="F16" s="16">
        <f t="shared" si="1"/>
        <v>0.5</v>
      </c>
      <c r="G16" s="16">
        <f t="shared" si="2"/>
        <v>0</v>
      </c>
      <c r="H16" s="16">
        <f t="shared" si="3"/>
        <v>0</v>
      </c>
      <c r="I16" s="16">
        <f t="shared" si="4"/>
        <v>0</v>
      </c>
      <c r="J16" s="16">
        <f t="shared" si="5"/>
        <v>0</v>
      </c>
      <c r="K16" s="16">
        <f t="shared" si="6"/>
        <v>0</v>
      </c>
      <c r="L16" s="16">
        <f t="shared" si="7"/>
        <v>0</v>
      </c>
      <c r="M16" s="16">
        <f t="shared" si="8"/>
        <v>0</v>
      </c>
      <c r="N16" s="16">
        <f t="shared" si="9"/>
        <v>0</v>
      </c>
      <c r="O16" s="16">
        <f t="shared" si="10"/>
        <v>0</v>
      </c>
      <c r="P16" s="16">
        <f t="shared" si="11"/>
        <v>0</v>
      </c>
      <c r="Q16" s="16">
        <f t="shared" si="12"/>
        <v>0</v>
      </c>
      <c r="R16" s="16">
        <f t="shared" si="13"/>
        <v>0</v>
      </c>
      <c r="S16" s="16">
        <f t="shared" si="14"/>
        <v>0</v>
      </c>
      <c r="T16" s="16">
        <f t="shared" si="15"/>
        <v>0</v>
      </c>
      <c r="U16" s="16">
        <f t="shared" si="16"/>
        <v>0</v>
      </c>
      <c r="V16" s="16">
        <f t="shared" si="17"/>
        <v>0</v>
      </c>
      <c r="W16" s="16">
        <f t="shared" si="18"/>
        <v>0</v>
      </c>
      <c r="X16" s="16">
        <f t="shared" si="19"/>
        <v>0</v>
      </c>
      <c r="Y16" s="16">
        <f t="shared" si="20"/>
        <v>0</v>
      </c>
      <c r="Z16" s="16">
        <f t="shared" si="21"/>
        <v>0</v>
      </c>
      <c r="AA16" s="16">
        <f t="shared" si="22"/>
        <v>0</v>
      </c>
      <c r="AB16" s="16">
        <f t="shared" si="23"/>
        <v>0</v>
      </c>
      <c r="AC16" s="16">
        <f t="shared" si="24"/>
        <v>0</v>
      </c>
      <c r="AD16" s="16">
        <f t="shared" si="25"/>
        <v>0</v>
      </c>
      <c r="AE16" s="16">
        <f t="shared" si="26"/>
        <v>0</v>
      </c>
      <c r="AF16" s="16">
        <f t="shared" si="27"/>
        <v>0</v>
      </c>
      <c r="AG16" s="16">
        <f t="shared" si="28"/>
        <v>0</v>
      </c>
      <c r="AH16" s="16">
        <f t="shared" si="29"/>
        <v>0</v>
      </c>
      <c r="AI16" s="16">
        <f t="shared" si="30"/>
        <v>0</v>
      </c>
      <c r="AJ16" s="16">
        <f t="shared" si="31"/>
        <v>0</v>
      </c>
      <c r="AK16" s="16"/>
      <c r="AL16" s="16"/>
      <c r="AM16" s="16">
        <f>IF(NOT(ISNUMBER('Registru mijloace fixe'!$R16)),0,MAX(0,MIN(((YEAR(LunaRef)-YEAR('Registru mijloace fixe'!$R16))*12+MONTH(LunaRef)-MONTH('Registru mijloace fixe'!$R16)+1)-1,IF(ISNUMBER('Registru mijloace fixe'!$N16),((YEAR('Registru mijloace fixe'!$N16)-YEAR('Registru mijloace fixe'!$R16))*12+MONTH('Registru mijloace fixe'!$N16)-MONTH('Registru mijloace fixe'!$R16)+1),9999),C16*12)))</f>
        <v>0</v>
      </c>
      <c r="AN16" s="27">
        <f>IF(NOT(ISNUMBER('Registru mijloace fixe'!$R16)),0,MAX(0,MIN(((YEAR(LunaRef)-YEAR('Registru mijloace fixe'!$R16))*12+MONTH(LunaRef)-MONTH('Registru mijloace fixe'!$R16)+1),IF(ISNUMBER('Registru mijloace fixe'!$N16),((YEAR('Registru mijloace fixe'!$N16)-YEAR('Registru mijloace fixe'!$R16))*12+MONTH('Registru mijloace fixe'!$N16)-MONTH('Registru mijloace fixe'!$R16)+1),9999),C16*12)))</f>
        <v>0</v>
      </c>
      <c r="AO16" s="16">
        <f t="shared" si="32"/>
        <v>0</v>
      </c>
      <c r="AP16" s="16">
        <f t="shared" si="33"/>
        <v>0</v>
      </c>
      <c r="AQ16" s="16">
        <f t="shared" si="34"/>
        <v>0</v>
      </c>
      <c r="AR16" s="16">
        <f t="shared" si="35"/>
        <v>0</v>
      </c>
      <c r="AS16" s="16">
        <f t="shared" si="36"/>
        <v>0</v>
      </c>
      <c r="AT16" s="16">
        <f t="shared" si="37"/>
        <v>0</v>
      </c>
      <c r="AU16" s="16">
        <f t="shared" si="38"/>
        <v>0</v>
      </c>
      <c r="AV16" s="16">
        <f t="shared" si="39"/>
        <v>0</v>
      </c>
      <c r="AW16" s="16">
        <f t="shared" si="40"/>
        <v>0</v>
      </c>
      <c r="AX16" s="16">
        <f t="shared" si="41"/>
        <v>0</v>
      </c>
      <c r="AY16" s="16">
        <f t="shared" si="42"/>
        <v>0</v>
      </c>
      <c r="AZ16" s="16">
        <f t="shared" si="43"/>
        <v>0</v>
      </c>
      <c r="BA16" s="16">
        <f t="shared" si="44"/>
        <v>0</v>
      </c>
      <c r="BB16" s="16">
        <f t="shared" si="45"/>
        <v>0</v>
      </c>
      <c r="BC16" s="16">
        <f t="shared" si="46"/>
        <v>0</v>
      </c>
      <c r="BD16" s="16">
        <f t="shared" si="47"/>
        <v>0</v>
      </c>
      <c r="BE16" s="16">
        <f t="shared" si="48"/>
        <v>0</v>
      </c>
      <c r="BF16" s="16">
        <f t="shared" si="49"/>
        <v>0</v>
      </c>
      <c r="BG16" s="16">
        <f t="shared" si="50"/>
        <v>0</v>
      </c>
      <c r="BH16" s="16">
        <f t="shared" si="51"/>
        <v>0</v>
      </c>
      <c r="BI16" s="16">
        <f t="shared" si="52"/>
        <v>0</v>
      </c>
      <c r="BJ16" s="16">
        <f t="shared" si="53"/>
        <v>0</v>
      </c>
      <c r="BK16" s="16">
        <f t="shared" si="54"/>
        <v>0</v>
      </c>
      <c r="BL16" s="16">
        <f t="shared" si="55"/>
        <v>0</v>
      </c>
      <c r="BM16" s="16">
        <f t="shared" si="56"/>
        <v>0</v>
      </c>
      <c r="BN16" s="16">
        <f t="shared" si="57"/>
        <v>0</v>
      </c>
      <c r="BO16" s="16">
        <f t="shared" si="58"/>
        <v>0</v>
      </c>
      <c r="BP16" s="16">
        <f t="shared" si="59"/>
        <v>0</v>
      </c>
      <c r="BQ16" s="16">
        <f t="shared" si="60"/>
        <v>0</v>
      </c>
      <c r="BR16" s="16">
        <f t="shared" si="61"/>
        <v>0</v>
      </c>
      <c r="BS16" s="16">
        <f t="shared" si="62"/>
        <v>0</v>
      </c>
      <c r="BT16" s="16">
        <f t="shared" si="63"/>
        <v>0</v>
      </c>
    </row>
    <row r="17" spans="2:72" x14ac:dyDescent="0.2">
      <c r="B17" s="16">
        <f>N('Registru mijloace fixe'!$I17)</f>
        <v>0</v>
      </c>
      <c r="C17" s="27">
        <f>N('Registru mijloace fixe'!$J17)</f>
        <v>0</v>
      </c>
      <c r="D17" s="16" t="str">
        <f>'Registru mijloace fixe'!$K17&amp;""</f>
        <v/>
      </c>
      <c r="E17" s="16">
        <f t="shared" si="0"/>
        <v>1.5</v>
      </c>
      <c r="F17" s="16">
        <f t="shared" si="1"/>
        <v>0.5</v>
      </c>
      <c r="G17" s="16">
        <f t="shared" si="2"/>
        <v>0</v>
      </c>
      <c r="H17" s="16">
        <f t="shared" si="3"/>
        <v>0</v>
      </c>
      <c r="I17" s="16">
        <f t="shared" si="4"/>
        <v>0</v>
      </c>
      <c r="J17" s="16">
        <f t="shared" si="5"/>
        <v>0</v>
      </c>
      <c r="K17" s="16">
        <f t="shared" si="6"/>
        <v>0</v>
      </c>
      <c r="L17" s="16">
        <f t="shared" si="7"/>
        <v>0</v>
      </c>
      <c r="M17" s="16">
        <f t="shared" si="8"/>
        <v>0</v>
      </c>
      <c r="N17" s="16">
        <f t="shared" si="9"/>
        <v>0</v>
      </c>
      <c r="O17" s="16">
        <f t="shared" si="10"/>
        <v>0</v>
      </c>
      <c r="P17" s="16">
        <f t="shared" si="11"/>
        <v>0</v>
      </c>
      <c r="Q17" s="16">
        <f t="shared" si="12"/>
        <v>0</v>
      </c>
      <c r="R17" s="16">
        <f t="shared" si="13"/>
        <v>0</v>
      </c>
      <c r="S17" s="16">
        <f t="shared" si="14"/>
        <v>0</v>
      </c>
      <c r="T17" s="16">
        <f t="shared" si="15"/>
        <v>0</v>
      </c>
      <c r="U17" s="16">
        <f t="shared" si="16"/>
        <v>0</v>
      </c>
      <c r="V17" s="16">
        <f t="shared" si="17"/>
        <v>0</v>
      </c>
      <c r="W17" s="16">
        <f t="shared" si="18"/>
        <v>0</v>
      </c>
      <c r="X17" s="16">
        <f t="shared" si="19"/>
        <v>0</v>
      </c>
      <c r="Y17" s="16">
        <f t="shared" si="20"/>
        <v>0</v>
      </c>
      <c r="Z17" s="16">
        <f t="shared" si="21"/>
        <v>0</v>
      </c>
      <c r="AA17" s="16">
        <f t="shared" si="22"/>
        <v>0</v>
      </c>
      <c r="AB17" s="16">
        <f t="shared" si="23"/>
        <v>0</v>
      </c>
      <c r="AC17" s="16">
        <f t="shared" si="24"/>
        <v>0</v>
      </c>
      <c r="AD17" s="16">
        <f t="shared" si="25"/>
        <v>0</v>
      </c>
      <c r="AE17" s="16">
        <f t="shared" si="26"/>
        <v>0</v>
      </c>
      <c r="AF17" s="16">
        <f t="shared" si="27"/>
        <v>0</v>
      </c>
      <c r="AG17" s="16">
        <f t="shared" si="28"/>
        <v>0</v>
      </c>
      <c r="AH17" s="16">
        <f t="shared" si="29"/>
        <v>0</v>
      </c>
      <c r="AI17" s="16">
        <f t="shared" si="30"/>
        <v>0</v>
      </c>
      <c r="AJ17" s="16">
        <f t="shared" si="31"/>
        <v>0</v>
      </c>
      <c r="AK17" s="16"/>
      <c r="AL17" s="16"/>
      <c r="AM17" s="16">
        <f>IF(NOT(ISNUMBER('Registru mijloace fixe'!$R17)),0,MAX(0,MIN(((YEAR(LunaRef)-YEAR('Registru mijloace fixe'!$R17))*12+MONTH(LunaRef)-MONTH('Registru mijloace fixe'!$R17)+1)-1,IF(ISNUMBER('Registru mijloace fixe'!$N17),((YEAR('Registru mijloace fixe'!$N17)-YEAR('Registru mijloace fixe'!$R17))*12+MONTH('Registru mijloace fixe'!$N17)-MONTH('Registru mijloace fixe'!$R17)+1),9999),C17*12)))</f>
        <v>0</v>
      </c>
      <c r="AN17" s="27">
        <f>IF(NOT(ISNUMBER('Registru mijloace fixe'!$R17)),0,MAX(0,MIN(((YEAR(LunaRef)-YEAR('Registru mijloace fixe'!$R17))*12+MONTH(LunaRef)-MONTH('Registru mijloace fixe'!$R17)+1),IF(ISNUMBER('Registru mijloace fixe'!$N17),((YEAR('Registru mijloace fixe'!$N17)-YEAR('Registru mijloace fixe'!$R17))*12+MONTH('Registru mijloace fixe'!$N17)-MONTH('Registru mijloace fixe'!$R17)+1),9999),C17*12)))</f>
        <v>0</v>
      </c>
      <c r="AO17" s="16">
        <f t="shared" si="32"/>
        <v>0</v>
      </c>
      <c r="AP17" s="16">
        <f t="shared" si="33"/>
        <v>0</v>
      </c>
      <c r="AQ17" s="16">
        <f t="shared" si="34"/>
        <v>0</v>
      </c>
      <c r="AR17" s="16">
        <f t="shared" si="35"/>
        <v>0</v>
      </c>
      <c r="AS17" s="16">
        <f t="shared" si="36"/>
        <v>0</v>
      </c>
      <c r="AT17" s="16">
        <f t="shared" si="37"/>
        <v>0</v>
      </c>
      <c r="AU17" s="16">
        <f t="shared" si="38"/>
        <v>0</v>
      </c>
      <c r="AV17" s="16">
        <f t="shared" si="39"/>
        <v>0</v>
      </c>
      <c r="AW17" s="16">
        <f t="shared" si="40"/>
        <v>0</v>
      </c>
      <c r="AX17" s="16">
        <f t="shared" si="41"/>
        <v>0</v>
      </c>
      <c r="AY17" s="16">
        <f t="shared" si="42"/>
        <v>0</v>
      </c>
      <c r="AZ17" s="16">
        <f t="shared" si="43"/>
        <v>0</v>
      </c>
      <c r="BA17" s="16">
        <f t="shared" si="44"/>
        <v>0</v>
      </c>
      <c r="BB17" s="16">
        <f t="shared" si="45"/>
        <v>0</v>
      </c>
      <c r="BC17" s="16">
        <f t="shared" si="46"/>
        <v>0</v>
      </c>
      <c r="BD17" s="16">
        <f t="shared" si="47"/>
        <v>0</v>
      </c>
      <c r="BE17" s="16">
        <f t="shared" si="48"/>
        <v>0</v>
      </c>
      <c r="BF17" s="16">
        <f t="shared" si="49"/>
        <v>0</v>
      </c>
      <c r="BG17" s="16">
        <f t="shared" si="50"/>
        <v>0</v>
      </c>
      <c r="BH17" s="16">
        <f t="shared" si="51"/>
        <v>0</v>
      </c>
      <c r="BI17" s="16">
        <f t="shared" si="52"/>
        <v>0</v>
      </c>
      <c r="BJ17" s="16">
        <f t="shared" si="53"/>
        <v>0</v>
      </c>
      <c r="BK17" s="16">
        <f t="shared" si="54"/>
        <v>0</v>
      </c>
      <c r="BL17" s="16">
        <f t="shared" si="55"/>
        <v>0</v>
      </c>
      <c r="BM17" s="16">
        <f t="shared" si="56"/>
        <v>0</v>
      </c>
      <c r="BN17" s="16">
        <f t="shared" si="57"/>
        <v>0</v>
      </c>
      <c r="BO17" s="16">
        <f t="shared" si="58"/>
        <v>0</v>
      </c>
      <c r="BP17" s="16">
        <f t="shared" si="59"/>
        <v>0</v>
      </c>
      <c r="BQ17" s="16">
        <f t="shared" si="60"/>
        <v>0</v>
      </c>
      <c r="BR17" s="16">
        <f t="shared" si="61"/>
        <v>0</v>
      </c>
      <c r="BS17" s="16">
        <f t="shared" si="62"/>
        <v>0</v>
      </c>
      <c r="BT17" s="16">
        <f t="shared" si="63"/>
        <v>0</v>
      </c>
    </row>
    <row r="18" spans="2:72" x14ac:dyDescent="0.2">
      <c r="B18" s="16">
        <f>N('Registru mijloace fixe'!$I18)</f>
        <v>0</v>
      </c>
      <c r="C18" s="27">
        <f>N('Registru mijloace fixe'!$J18)</f>
        <v>0</v>
      </c>
      <c r="D18" s="16" t="str">
        <f>'Registru mijloace fixe'!$K18&amp;""</f>
        <v/>
      </c>
      <c r="E18" s="16">
        <f t="shared" si="0"/>
        <v>1.5</v>
      </c>
      <c r="F18" s="16">
        <f t="shared" si="1"/>
        <v>0.5</v>
      </c>
      <c r="G18" s="16">
        <f t="shared" si="2"/>
        <v>0</v>
      </c>
      <c r="H18" s="16">
        <f t="shared" si="3"/>
        <v>0</v>
      </c>
      <c r="I18" s="16">
        <f t="shared" si="4"/>
        <v>0</v>
      </c>
      <c r="J18" s="16">
        <f t="shared" si="5"/>
        <v>0</v>
      </c>
      <c r="K18" s="16">
        <f t="shared" si="6"/>
        <v>0</v>
      </c>
      <c r="L18" s="16">
        <f t="shared" si="7"/>
        <v>0</v>
      </c>
      <c r="M18" s="16">
        <f t="shared" si="8"/>
        <v>0</v>
      </c>
      <c r="N18" s="16">
        <f t="shared" si="9"/>
        <v>0</v>
      </c>
      <c r="O18" s="16">
        <f t="shared" si="10"/>
        <v>0</v>
      </c>
      <c r="P18" s="16">
        <f t="shared" si="11"/>
        <v>0</v>
      </c>
      <c r="Q18" s="16">
        <f t="shared" si="12"/>
        <v>0</v>
      </c>
      <c r="R18" s="16">
        <f t="shared" si="13"/>
        <v>0</v>
      </c>
      <c r="S18" s="16">
        <f t="shared" si="14"/>
        <v>0</v>
      </c>
      <c r="T18" s="16">
        <f t="shared" si="15"/>
        <v>0</v>
      </c>
      <c r="U18" s="16">
        <f t="shared" si="16"/>
        <v>0</v>
      </c>
      <c r="V18" s="16">
        <f t="shared" si="17"/>
        <v>0</v>
      </c>
      <c r="W18" s="16">
        <f t="shared" si="18"/>
        <v>0</v>
      </c>
      <c r="X18" s="16">
        <f t="shared" si="19"/>
        <v>0</v>
      </c>
      <c r="Y18" s="16">
        <f t="shared" si="20"/>
        <v>0</v>
      </c>
      <c r="Z18" s="16">
        <f t="shared" si="21"/>
        <v>0</v>
      </c>
      <c r="AA18" s="16">
        <f t="shared" si="22"/>
        <v>0</v>
      </c>
      <c r="AB18" s="16">
        <f t="shared" si="23"/>
        <v>0</v>
      </c>
      <c r="AC18" s="16">
        <f t="shared" si="24"/>
        <v>0</v>
      </c>
      <c r="AD18" s="16">
        <f t="shared" si="25"/>
        <v>0</v>
      </c>
      <c r="AE18" s="16">
        <f t="shared" si="26"/>
        <v>0</v>
      </c>
      <c r="AF18" s="16">
        <f t="shared" si="27"/>
        <v>0</v>
      </c>
      <c r="AG18" s="16">
        <f t="shared" si="28"/>
        <v>0</v>
      </c>
      <c r="AH18" s="16">
        <f t="shared" si="29"/>
        <v>0</v>
      </c>
      <c r="AI18" s="16">
        <f t="shared" si="30"/>
        <v>0</v>
      </c>
      <c r="AJ18" s="16">
        <f t="shared" si="31"/>
        <v>0</v>
      </c>
      <c r="AK18" s="16"/>
      <c r="AL18" s="16"/>
      <c r="AM18" s="16">
        <f>IF(NOT(ISNUMBER('Registru mijloace fixe'!$R18)),0,MAX(0,MIN(((YEAR(LunaRef)-YEAR('Registru mijloace fixe'!$R18))*12+MONTH(LunaRef)-MONTH('Registru mijloace fixe'!$R18)+1)-1,IF(ISNUMBER('Registru mijloace fixe'!$N18),((YEAR('Registru mijloace fixe'!$N18)-YEAR('Registru mijloace fixe'!$R18))*12+MONTH('Registru mijloace fixe'!$N18)-MONTH('Registru mijloace fixe'!$R18)+1),9999),C18*12)))</f>
        <v>0</v>
      </c>
      <c r="AN18" s="27">
        <f>IF(NOT(ISNUMBER('Registru mijloace fixe'!$R18)),0,MAX(0,MIN(((YEAR(LunaRef)-YEAR('Registru mijloace fixe'!$R18))*12+MONTH(LunaRef)-MONTH('Registru mijloace fixe'!$R18)+1),IF(ISNUMBER('Registru mijloace fixe'!$N18),((YEAR('Registru mijloace fixe'!$N18)-YEAR('Registru mijloace fixe'!$R18))*12+MONTH('Registru mijloace fixe'!$N18)-MONTH('Registru mijloace fixe'!$R18)+1),9999),C18*12)))</f>
        <v>0</v>
      </c>
      <c r="AO18" s="16">
        <f t="shared" si="32"/>
        <v>0</v>
      </c>
      <c r="AP18" s="16">
        <f t="shared" si="33"/>
        <v>0</v>
      </c>
      <c r="AQ18" s="16">
        <f t="shared" si="34"/>
        <v>0</v>
      </c>
      <c r="AR18" s="16">
        <f t="shared" si="35"/>
        <v>0</v>
      </c>
      <c r="AS18" s="16">
        <f t="shared" si="36"/>
        <v>0</v>
      </c>
      <c r="AT18" s="16">
        <f t="shared" si="37"/>
        <v>0</v>
      </c>
      <c r="AU18" s="16">
        <f t="shared" si="38"/>
        <v>0</v>
      </c>
      <c r="AV18" s="16">
        <f t="shared" si="39"/>
        <v>0</v>
      </c>
      <c r="AW18" s="16">
        <f t="shared" si="40"/>
        <v>0</v>
      </c>
      <c r="AX18" s="16">
        <f t="shared" si="41"/>
        <v>0</v>
      </c>
      <c r="AY18" s="16">
        <f t="shared" si="42"/>
        <v>0</v>
      </c>
      <c r="AZ18" s="16">
        <f t="shared" si="43"/>
        <v>0</v>
      </c>
      <c r="BA18" s="16">
        <f t="shared" si="44"/>
        <v>0</v>
      </c>
      <c r="BB18" s="16">
        <f t="shared" si="45"/>
        <v>0</v>
      </c>
      <c r="BC18" s="16">
        <f t="shared" si="46"/>
        <v>0</v>
      </c>
      <c r="BD18" s="16">
        <f t="shared" si="47"/>
        <v>0</v>
      </c>
      <c r="BE18" s="16">
        <f t="shared" si="48"/>
        <v>0</v>
      </c>
      <c r="BF18" s="16">
        <f t="shared" si="49"/>
        <v>0</v>
      </c>
      <c r="BG18" s="16">
        <f t="shared" si="50"/>
        <v>0</v>
      </c>
      <c r="BH18" s="16">
        <f t="shared" si="51"/>
        <v>0</v>
      </c>
      <c r="BI18" s="16">
        <f t="shared" si="52"/>
        <v>0</v>
      </c>
      <c r="BJ18" s="16">
        <f t="shared" si="53"/>
        <v>0</v>
      </c>
      <c r="BK18" s="16">
        <f t="shared" si="54"/>
        <v>0</v>
      </c>
      <c r="BL18" s="16">
        <f t="shared" si="55"/>
        <v>0</v>
      </c>
      <c r="BM18" s="16">
        <f t="shared" si="56"/>
        <v>0</v>
      </c>
      <c r="BN18" s="16">
        <f t="shared" si="57"/>
        <v>0</v>
      </c>
      <c r="BO18" s="16">
        <f t="shared" si="58"/>
        <v>0</v>
      </c>
      <c r="BP18" s="16">
        <f t="shared" si="59"/>
        <v>0</v>
      </c>
      <c r="BQ18" s="16">
        <f t="shared" si="60"/>
        <v>0</v>
      </c>
      <c r="BR18" s="16">
        <f t="shared" si="61"/>
        <v>0</v>
      </c>
      <c r="BS18" s="16">
        <f t="shared" si="62"/>
        <v>0</v>
      </c>
      <c r="BT18" s="16">
        <f t="shared" si="63"/>
        <v>0</v>
      </c>
    </row>
    <row r="19" spans="2:72" x14ac:dyDescent="0.2">
      <c r="B19" s="16">
        <f>N('Registru mijloace fixe'!$I19)</f>
        <v>0</v>
      </c>
      <c r="C19" s="27">
        <f>N('Registru mijloace fixe'!$J19)</f>
        <v>0</v>
      </c>
      <c r="D19" s="16" t="str">
        <f>'Registru mijloace fixe'!$K19&amp;""</f>
        <v/>
      </c>
      <c r="E19" s="16">
        <f t="shared" si="0"/>
        <v>1.5</v>
      </c>
      <c r="F19" s="16">
        <f t="shared" si="1"/>
        <v>0.5</v>
      </c>
      <c r="G19" s="16">
        <f t="shared" si="2"/>
        <v>0</v>
      </c>
      <c r="H19" s="16">
        <f t="shared" si="3"/>
        <v>0</v>
      </c>
      <c r="I19" s="16">
        <f t="shared" si="4"/>
        <v>0</v>
      </c>
      <c r="J19" s="16">
        <f t="shared" si="5"/>
        <v>0</v>
      </c>
      <c r="K19" s="16">
        <f t="shared" si="6"/>
        <v>0</v>
      </c>
      <c r="L19" s="16">
        <f t="shared" si="7"/>
        <v>0</v>
      </c>
      <c r="M19" s="16">
        <f t="shared" si="8"/>
        <v>0</v>
      </c>
      <c r="N19" s="16">
        <f t="shared" si="9"/>
        <v>0</v>
      </c>
      <c r="O19" s="16">
        <f t="shared" si="10"/>
        <v>0</v>
      </c>
      <c r="P19" s="16">
        <f t="shared" si="11"/>
        <v>0</v>
      </c>
      <c r="Q19" s="16">
        <f t="shared" si="12"/>
        <v>0</v>
      </c>
      <c r="R19" s="16">
        <f t="shared" si="13"/>
        <v>0</v>
      </c>
      <c r="S19" s="16">
        <f t="shared" si="14"/>
        <v>0</v>
      </c>
      <c r="T19" s="16">
        <f t="shared" si="15"/>
        <v>0</v>
      </c>
      <c r="U19" s="16">
        <f t="shared" si="16"/>
        <v>0</v>
      </c>
      <c r="V19" s="16">
        <f t="shared" si="17"/>
        <v>0</v>
      </c>
      <c r="W19" s="16">
        <f t="shared" si="18"/>
        <v>0</v>
      </c>
      <c r="X19" s="16">
        <f t="shared" si="19"/>
        <v>0</v>
      </c>
      <c r="Y19" s="16">
        <f t="shared" si="20"/>
        <v>0</v>
      </c>
      <c r="Z19" s="16">
        <f t="shared" si="21"/>
        <v>0</v>
      </c>
      <c r="AA19" s="16">
        <f t="shared" si="22"/>
        <v>0</v>
      </c>
      <c r="AB19" s="16">
        <f t="shared" si="23"/>
        <v>0</v>
      </c>
      <c r="AC19" s="16">
        <f t="shared" si="24"/>
        <v>0</v>
      </c>
      <c r="AD19" s="16">
        <f t="shared" si="25"/>
        <v>0</v>
      </c>
      <c r="AE19" s="16">
        <f t="shared" si="26"/>
        <v>0</v>
      </c>
      <c r="AF19" s="16">
        <f t="shared" si="27"/>
        <v>0</v>
      </c>
      <c r="AG19" s="16">
        <f t="shared" si="28"/>
        <v>0</v>
      </c>
      <c r="AH19" s="16">
        <f t="shared" si="29"/>
        <v>0</v>
      </c>
      <c r="AI19" s="16">
        <f t="shared" si="30"/>
        <v>0</v>
      </c>
      <c r="AJ19" s="16">
        <f t="shared" si="31"/>
        <v>0</v>
      </c>
      <c r="AK19" s="16"/>
      <c r="AL19" s="16"/>
      <c r="AM19" s="16">
        <f>IF(NOT(ISNUMBER('Registru mijloace fixe'!$R19)),0,MAX(0,MIN(((YEAR(LunaRef)-YEAR('Registru mijloace fixe'!$R19))*12+MONTH(LunaRef)-MONTH('Registru mijloace fixe'!$R19)+1)-1,IF(ISNUMBER('Registru mijloace fixe'!$N19),((YEAR('Registru mijloace fixe'!$N19)-YEAR('Registru mijloace fixe'!$R19))*12+MONTH('Registru mijloace fixe'!$N19)-MONTH('Registru mijloace fixe'!$R19)+1),9999),C19*12)))</f>
        <v>0</v>
      </c>
      <c r="AN19" s="27">
        <f>IF(NOT(ISNUMBER('Registru mijloace fixe'!$R19)),0,MAX(0,MIN(((YEAR(LunaRef)-YEAR('Registru mijloace fixe'!$R19))*12+MONTH(LunaRef)-MONTH('Registru mijloace fixe'!$R19)+1),IF(ISNUMBER('Registru mijloace fixe'!$N19),((YEAR('Registru mijloace fixe'!$N19)-YEAR('Registru mijloace fixe'!$R19))*12+MONTH('Registru mijloace fixe'!$N19)-MONTH('Registru mijloace fixe'!$R19)+1),9999),C19*12)))</f>
        <v>0</v>
      </c>
      <c r="AO19" s="16">
        <f t="shared" si="32"/>
        <v>0</v>
      </c>
      <c r="AP19" s="16">
        <f t="shared" si="33"/>
        <v>0</v>
      </c>
      <c r="AQ19" s="16">
        <f t="shared" si="34"/>
        <v>0</v>
      </c>
      <c r="AR19" s="16">
        <f t="shared" si="35"/>
        <v>0</v>
      </c>
      <c r="AS19" s="16">
        <f t="shared" si="36"/>
        <v>0</v>
      </c>
      <c r="AT19" s="16">
        <f t="shared" si="37"/>
        <v>0</v>
      </c>
      <c r="AU19" s="16">
        <f t="shared" si="38"/>
        <v>0</v>
      </c>
      <c r="AV19" s="16">
        <f t="shared" si="39"/>
        <v>0</v>
      </c>
      <c r="AW19" s="16">
        <f t="shared" si="40"/>
        <v>0</v>
      </c>
      <c r="AX19" s="16">
        <f t="shared" si="41"/>
        <v>0</v>
      </c>
      <c r="AY19" s="16">
        <f t="shared" si="42"/>
        <v>0</v>
      </c>
      <c r="AZ19" s="16">
        <f t="shared" si="43"/>
        <v>0</v>
      </c>
      <c r="BA19" s="16">
        <f t="shared" si="44"/>
        <v>0</v>
      </c>
      <c r="BB19" s="16">
        <f t="shared" si="45"/>
        <v>0</v>
      </c>
      <c r="BC19" s="16">
        <f t="shared" si="46"/>
        <v>0</v>
      </c>
      <c r="BD19" s="16">
        <f t="shared" si="47"/>
        <v>0</v>
      </c>
      <c r="BE19" s="16">
        <f t="shared" si="48"/>
        <v>0</v>
      </c>
      <c r="BF19" s="16">
        <f t="shared" si="49"/>
        <v>0</v>
      </c>
      <c r="BG19" s="16">
        <f t="shared" si="50"/>
        <v>0</v>
      </c>
      <c r="BH19" s="16">
        <f t="shared" si="51"/>
        <v>0</v>
      </c>
      <c r="BI19" s="16">
        <f t="shared" si="52"/>
        <v>0</v>
      </c>
      <c r="BJ19" s="16">
        <f t="shared" si="53"/>
        <v>0</v>
      </c>
      <c r="BK19" s="16">
        <f t="shared" si="54"/>
        <v>0</v>
      </c>
      <c r="BL19" s="16">
        <f t="shared" si="55"/>
        <v>0</v>
      </c>
      <c r="BM19" s="16">
        <f t="shared" si="56"/>
        <v>0</v>
      </c>
      <c r="BN19" s="16">
        <f t="shared" si="57"/>
        <v>0</v>
      </c>
      <c r="BO19" s="16">
        <f t="shared" si="58"/>
        <v>0</v>
      </c>
      <c r="BP19" s="16">
        <f t="shared" si="59"/>
        <v>0</v>
      </c>
      <c r="BQ19" s="16">
        <f t="shared" si="60"/>
        <v>0</v>
      </c>
      <c r="BR19" s="16">
        <f t="shared" si="61"/>
        <v>0</v>
      </c>
      <c r="BS19" s="16">
        <f t="shared" si="62"/>
        <v>0</v>
      </c>
      <c r="BT19" s="16">
        <f t="shared" si="63"/>
        <v>0</v>
      </c>
    </row>
    <row r="20" spans="2:72" x14ac:dyDescent="0.2">
      <c r="B20" s="16">
        <f>N('Registru mijloace fixe'!$I20)</f>
        <v>0</v>
      </c>
      <c r="C20" s="27">
        <f>N('Registru mijloace fixe'!$J20)</f>
        <v>0</v>
      </c>
      <c r="D20" s="16" t="str">
        <f>'Registru mijloace fixe'!$K20&amp;""</f>
        <v/>
      </c>
      <c r="E20" s="16">
        <f t="shared" si="0"/>
        <v>1.5</v>
      </c>
      <c r="F20" s="16">
        <f t="shared" si="1"/>
        <v>0.5</v>
      </c>
      <c r="G20" s="16">
        <f t="shared" si="2"/>
        <v>0</v>
      </c>
      <c r="H20" s="16">
        <f t="shared" si="3"/>
        <v>0</v>
      </c>
      <c r="I20" s="16">
        <f t="shared" si="4"/>
        <v>0</v>
      </c>
      <c r="J20" s="16">
        <f t="shared" si="5"/>
        <v>0</v>
      </c>
      <c r="K20" s="16">
        <f t="shared" si="6"/>
        <v>0</v>
      </c>
      <c r="L20" s="16">
        <f t="shared" si="7"/>
        <v>0</v>
      </c>
      <c r="M20" s="16">
        <f t="shared" si="8"/>
        <v>0</v>
      </c>
      <c r="N20" s="16">
        <f t="shared" si="9"/>
        <v>0</v>
      </c>
      <c r="O20" s="16">
        <f t="shared" si="10"/>
        <v>0</v>
      </c>
      <c r="P20" s="16">
        <f t="shared" si="11"/>
        <v>0</v>
      </c>
      <c r="Q20" s="16">
        <f t="shared" si="12"/>
        <v>0</v>
      </c>
      <c r="R20" s="16">
        <f t="shared" si="13"/>
        <v>0</v>
      </c>
      <c r="S20" s="16">
        <f t="shared" si="14"/>
        <v>0</v>
      </c>
      <c r="T20" s="16">
        <f t="shared" si="15"/>
        <v>0</v>
      </c>
      <c r="U20" s="16">
        <f t="shared" si="16"/>
        <v>0</v>
      </c>
      <c r="V20" s="16">
        <f t="shared" si="17"/>
        <v>0</v>
      </c>
      <c r="W20" s="16">
        <f t="shared" si="18"/>
        <v>0</v>
      </c>
      <c r="X20" s="16">
        <f t="shared" si="19"/>
        <v>0</v>
      </c>
      <c r="Y20" s="16">
        <f t="shared" si="20"/>
        <v>0</v>
      </c>
      <c r="Z20" s="16">
        <f t="shared" si="21"/>
        <v>0</v>
      </c>
      <c r="AA20" s="16">
        <f t="shared" si="22"/>
        <v>0</v>
      </c>
      <c r="AB20" s="16">
        <f t="shared" si="23"/>
        <v>0</v>
      </c>
      <c r="AC20" s="16">
        <f t="shared" si="24"/>
        <v>0</v>
      </c>
      <c r="AD20" s="16">
        <f t="shared" si="25"/>
        <v>0</v>
      </c>
      <c r="AE20" s="16">
        <f t="shared" si="26"/>
        <v>0</v>
      </c>
      <c r="AF20" s="16">
        <f t="shared" si="27"/>
        <v>0</v>
      </c>
      <c r="AG20" s="16">
        <f t="shared" si="28"/>
        <v>0</v>
      </c>
      <c r="AH20" s="16">
        <f t="shared" si="29"/>
        <v>0</v>
      </c>
      <c r="AI20" s="16">
        <f t="shared" si="30"/>
        <v>0</v>
      </c>
      <c r="AJ20" s="16">
        <f t="shared" si="31"/>
        <v>0</v>
      </c>
      <c r="AK20" s="16"/>
      <c r="AL20" s="16"/>
      <c r="AM20" s="16">
        <f>IF(NOT(ISNUMBER('Registru mijloace fixe'!$R20)),0,MAX(0,MIN(((YEAR(LunaRef)-YEAR('Registru mijloace fixe'!$R20))*12+MONTH(LunaRef)-MONTH('Registru mijloace fixe'!$R20)+1)-1,IF(ISNUMBER('Registru mijloace fixe'!$N20),((YEAR('Registru mijloace fixe'!$N20)-YEAR('Registru mijloace fixe'!$R20))*12+MONTH('Registru mijloace fixe'!$N20)-MONTH('Registru mijloace fixe'!$R20)+1),9999),C20*12)))</f>
        <v>0</v>
      </c>
      <c r="AN20" s="27">
        <f>IF(NOT(ISNUMBER('Registru mijloace fixe'!$R20)),0,MAX(0,MIN(((YEAR(LunaRef)-YEAR('Registru mijloace fixe'!$R20))*12+MONTH(LunaRef)-MONTH('Registru mijloace fixe'!$R20)+1),IF(ISNUMBER('Registru mijloace fixe'!$N20),((YEAR('Registru mijloace fixe'!$N20)-YEAR('Registru mijloace fixe'!$R20))*12+MONTH('Registru mijloace fixe'!$N20)-MONTH('Registru mijloace fixe'!$R20)+1),9999),C20*12)))</f>
        <v>0</v>
      </c>
      <c r="AO20" s="16">
        <f t="shared" si="32"/>
        <v>0</v>
      </c>
      <c r="AP20" s="16">
        <f t="shared" si="33"/>
        <v>0</v>
      </c>
      <c r="AQ20" s="16">
        <f t="shared" si="34"/>
        <v>0</v>
      </c>
      <c r="AR20" s="16">
        <f t="shared" si="35"/>
        <v>0</v>
      </c>
      <c r="AS20" s="16">
        <f t="shared" si="36"/>
        <v>0</v>
      </c>
      <c r="AT20" s="16">
        <f t="shared" si="37"/>
        <v>0</v>
      </c>
      <c r="AU20" s="16">
        <f t="shared" si="38"/>
        <v>0</v>
      </c>
      <c r="AV20" s="16">
        <f t="shared" si="39"/>
        <v>0</v>
      </c>
      <c r="AW20" s="16">
        <f t="shared" si="40"/>
        <v>0</v>
      </c>
      <c r="AX20" s="16">
        <f t="shared" si="41"/>
        <v>0</v>
      </c>
      <c r="AY20" s="16">
        <f t="shared" si="42"/>
        <v>0</v>
      </c>
      <c r="AZ20" s="16">
        <f t="shared" si="43"/>
        <v>0</v>
      </c>
      <c r="BA20" s="16">
        <f t="shared" si="44"/>
        <v>0</v>
      </c>
      <c r="BB20" s="16">
        <f t="shared" si="45"/>
        <v>0</v>
      </c>
      <c r="BC20" s="16">
        <f t="shared" si="46"/>
        <v>0</v>
      </c>
      <c r="BD20" s="16">
        <f t="shared" si="47"/>
        <v>0</v>
      </c>
      <c r="BE20" s="16">
        <f t="shared" si="48"/>
        <v>0</v>
      </c>
      <c r="BF20" s="16">
        <f t="shared" si="49"/>
        <v>0</v>
      </c>
      <c r="BG20" s="16">
        <f t="shared" si="50"/>
        <v>0</v>
      </c>
      <c r="BH20" s="16">
        <f t="shared" si="51"/>
        <v>0</v>
      </c>
      <c r="BI20" s="16">
        <f t="shared" si="52"/>
        <v>0</v>
      </c>
      <c r="BJ20" s="16">
        <f t="shared" si="53"/>
        <v>0</v>
      </c>
      <c r="BK20" s="16">
        <f t="shared" si="54"/>
        <v>0</v>
      </c>
      <c r="BL20" s="16">
        <f t="shared" si="55"/>
        <v>0</v>
      </c>
      <c r="BM20" s="16">
        <f t="shared" si="56"/>
        <v>0</v>
      </c>
      <c r="BN20" s="16">
        <f t="shared" si="57"/>
        <v>0</v>
      </c>
      <c r="BO20" s="16">
        <f t="shared" si="58"/>
        <v>0</v>
      </c>
      <c r="BP20" s="16">
        <f t="shared" si="59"/>
        <v>0</v>
      </c>
      <c r="BQ20" s="16">
        <f t="shared" si="60"/>
        <v>0</v>
      </c>
      <c r="BR20" s="16">
        <f t="shared" si="61"/>
        <v>0</v>
      </c>
      <c r="BS20" s="16">
        <f t="shared" si="62"/>
        <v>0</v>
      </c>
      <c r="BT20" s="16">
        <f t="shared" si="63"/>
        <v>0</v>
      </c>
    </row>
    <row r="21" spans="2:72" x14ac:dyDescent="0.2">
      <c r="B21" s="16">
        <f>N('Registru mijloace fixe'!$I21)</f>
        <v>0</v>
      </c>
      <c r="C21" s="27">
        <f>N('Registru mijloace fixe'!$J21)</f>
        <v>0</v>
      </c>
      <c r="D21" s="16" t="str">
        <f>'Registru mijloace fixe'!$K21&amp;""</f>
        <v/>
      </c>
      <c r="E21" s="16">
        <f t="shared" si="0"/>
        <v>1.5</v>
      </c>
      <c r="F21" s="16">
        <f t="shared" si="1"/>
        <v>0.5</v>
      </c>
      <c r="G21" s="16">
        <f t="shared" si="2"/>
        <v>0</v>
      </c>
      <c r="H21" s="16">
        <f t="shared" si="3"/>
        <v>0</v>
      </c>
      <c r="I21" s="16">
        <f t="shared" si="4"/>
        <v>0</v>
      </c>
      <c r="J21" s="16">
        <f t="shared" si="5"/>
        <v>0</v>
      </c>
      <c r="K21" s="16">
        <f t="shared" si="6"/>
        <v>0</v>
      </c>
      <c r="L21" s="16">
        <f t="shared" si="7"/>
        <v>0</v>
      </c>
      <c r="M21" s="16">
        <f t="shared" si="8"/>
        <v>0</v>
      </c>
      <c r="N21" s="16">
        <f t="shared" si="9"/>
        <v>0</v>
      </c>
      <c r="O21" s="16">
        <f t="shared" si="10"/>
        <v>0</v>
      </c>
      <c r="P21" s="16">
        <f t="shared" si="11"/>
        <v>0</v>
      </c>
      <c r="Q21" s="16">
        <f t="shared" si="12"/>
        <v>0</v>
      </c>
      <c r="R21" s="16">
        <f t="shared" si="13"/>
        <v>0</v>
      </c>
      <c r="S21" s="16">
        <f t="shared" si="14"/>
        <v>0</v>
      </c>
      <c r="T21" s="16">
        <f t="shared" si="15"/>
        <v>0</v>
      </c>
      <c r="U21" s="16">
        <f t="shared" si="16"/>
        <v>0</v>
      </c>
      <c r="V21" s="16">
        <f t="shared" si="17"/>
        <v>0</v>
      </c>
      <c r="W21" s="16">
        <f t="shared" si="18"/>
        <v>0</v>
      </c>
      <c r="X21" s="16">
        <f t="shared" si="19"/>
        <v>0</v>
      </c>
      <c r="Y21" s="16">
        <f t="shared" si="20"/>
        <v>0</v>
      </c>
      <c r="Z21" s="16">
        <f t="shared" si="21"/>
        <v>0</v>
      </c>
      <c r="AA21" s="16">
        <f t="shared" si="22"/>
        <v>0</v>
      </c>
      <c r="AB21" s="16">
        <f t="shared" si="23"/>
        <v>0</v>
      </c>
      <c r="AC21" s="16">
        <f t="shared" si="24"/>
        <v>0</v>
      </c>
      <c r="AD21" s="16">
        <f t="shared" si="25"/>
        <v>0</v>
      </c>
      <c r="AE21" s="16">
        <f t="shared" si="26"/>
        <v>0</v>
      </c>
      <c r="AF21" s="16">
        <f t="shared" si="27"/>
        <v>0</v>
      </c>
      <c r="AG21" s="16">
        <f t="shared" si="28"/>
        <v>0</v>
      </c>
      <c r="AH21" s="16">
        <f t="shared" si="29"/>
        <v>0</v>
      </c>
      <c r="AI21" s="16">
        <f t="shared" si="30"/>
        <v>0</v>
      </c>
      <c r="AJ21" s="16">
        <f t="shared" si="31"/>
        <v>0</v>
      </c>
      <c r="AK21" s="16"/>
      <c r="AL21" s="16"/>
      <c r="AM21" s="16">
        <f>IF(NOT(ISNUMBER('Registru mijloace fixe'!$R21)),0,MAX(0,MIN(((YEAR(LunaRef)-YEAR('Registru mijloace fixe'!$R21))*12+MONTH(LunaRef)-MONTH('Registru mijloace fixe'!$R21)+1)-1,IF(ISNUMBER('Registru mijloace fixe'!$N21),((YEAR('Registru mijloace fixe'!$N21)-YEAR('Registru mijloace fixe'!$R21))*12+MONTH('Registru mijloace fixe'!$N21)-MONTH('Registru mijloace fixe'!$R21)+1),9999),C21*12)))</f>
        <v>0</v>
      </c>
      <c r="AN21" s="27">
        <f>IF(NOT(ISNUMBER('Registru mijloace fixe'!$R21)),0,MAX(0,MIN(((YEAR(LunaRef)-YEAR('Registru mijloace fixe'!$R21))*12+MONTH(LunaRef)-MONTH('Registru mijloace fixe'!$R21)+1),IF(ISNUMBER('Registru mijloace fixe'!$N21),((YEAR('Registru mijloace fixe'!$N21)-YEAR('Registru mijloace fixe'!$R21))*12+MONTH('Registru mijloace fixe'!$N21)-MONTH('Registru mijloace fixe'!$R21)+1),9999),C21*12)))</f>
        <v>0</v>
      </c>
      <c r="AO21" s="16">
        <f t="shared" si="32"/>
        <v>0</v>
      </c>
      <c r="AP21" s="16">
        <f t="shared" si="33"/>
        <v>0</v>
      </c>
      <c r="AQ21" s="16">
        <f t="shared" si="34"/>
        <v>0</v>
      </c>
      <c r="AR21" s="16">
        <f t="shared" si="35"/>
        <v>0</v>
      </c>
      <c r="AS21" s="16">
        <f t="shared" si="36"/>
        <v>0</v>
      </c>
      <c r="AT21" s="16">
        <f t="shared" si="37"/>
        <v>0</v>
      </c>
      <c r="AU21" s="16">
        <f t="shared" si="38"/>
        <v>0</v>
      </c>
      <c r="AV21" s="16">
        <f t="shared" si="39"/>
        <v>0</v>
      </c>
      <c r="AW21" s="16">
        <f t="shared" si="40"/>
        <v>0</v>
      </c>
      <c r="AX21" s="16">
        <f t="shared" si="41"/>
        <v>0</v>
      </c>
      <c r="AY21" s="16">
        <f t="shared" si="42"/>
        <v>0</v>
      </c>
      <c r="AZ21" s="16">
        <f t="shared" si="43"/>
        <v>0</v>
      </c>
      <c r="BA21" s="16">
        <f t="shared" si="44"/>
        <v>0</v>
      </c>
      <c r="BB21" s="16">
        <f t="shared" si="45"/>
        <v>0</v>
      </c>
      <c r="BC21" s="16">
        <f t="shared" si="46"/>
        <v>0</v>
      </c>
      <c r="BD21" s="16">
        <f t="shared" si="47"/>
        <v>0</v>
      </c>
      <c r="BE21" s="16">
        <f t="shared" si="48"/>
        <v>0</v>
      </c>
      <c r="BF21" s="16">
        <f t="shared" si="49"/>
        <v>0</v>
      </c>
      <c r="BG21" s="16">
        <f t="shared" si="50"/>
        <v>0</v>
      </c>
      <c r="BH21" s="16">
        <f t="shared" si="51"/>
        <v>0</v>
      </c>
      <c r="BI21" s="16">
        <f t="shared" si="52"/>
        <v>0</v>
      </c>
      <c r="BJ21" s="16">
        <f t="shared" si="53"/>
        <v>0</v>
      </c>
      <c r="BK21" s="16">
        <f t="shared" si="54"/>
        <v>0</v>
      </c>
      <c r="BL21" s="16">
        <f t="shared" si="55"/>
        <v>0</v>
      </c>
      <c r="BM21" s="16">
        <f t="shared" si="56"/>
        <v>0</v>
      </c>
      <c r="BN21" s="16">
        <f t="shared" si="57"/>
        <v>0</v>
      </c>
      <c r="BO21" s="16">
        <f t="shared" si="58"/>
        <v>0</v>
      </c>
      <c r="BP21" s="16">
        <f t="shared" si="59"/>
        <v>0</v>
      </c>
      <c r="BQ21" s="16">
        <f t="shared" si="60"/>
        <v>0</v>
      </c>
      <c r="BR21" s="16">
        <f t="shared" si="61"/>
        <v>0</v>
      </c>
      <c r="BS21" s="16">
        <f t="shared" si="62"/>
        <v>0</v>
      </c>
      <c r="BT21" s="16">
        <f t="shared" si="63"/>
        <v>0</v>
      </c>
    </row>
    <row r="22" spans="2:72" x14ac:dyDescent="0.2">
      <c r="B22" s="16">
        <f>N('Registru mijloace fixe'!$I22)</f>
        <v>0</v>
      </c>
      <c r="C22" s="27">
        <f>N('Registru mijloace fixe'!$J22)</f>
        <v>0</v>
      </c>
      <c r="D22" s="16" t="str">
        <f>'Registru mijloace fixe'!$K22&amp;""</f>
        <v/>
      </c>
      <c r="E22" s="16">
        <f t="shared" si="0"/>
        <v>1.5</v>
      </c>
      <c r="F22" s="16">
        <f t="shared" si="1"/>
        <v>0.5</v>
      </c>
      <c r="G22" s="16">
        <f t="shared" si="2"/>
        <v>0</v>
      </c>
      <c r="H22" s="16">
        <f t="shared" si="3"/>
        <v>0</v>
      </c>
      <c r="I22" s="16">
        <f t="shared" si="4"/>
        <v>0</v>
      </c>
      <c r="J22" s="16">
        <f t="shared" si="5"/>
        <v>0</v>
      </c>
      <c r="K22" s="16">
        <f t="shared" si="6"/>
        <v>0</v>
      </c>
      <c r="L22" s="16">
        <f t="shared" si="7"/>
        <v>0</v>
      </c>
      <c r="M22" s="16">
        <f t="shared" si="8"/>
        <v>0</v>
      </c>
      <c r="N22" s="16">
        <f t="shared" si="9"/>
        <v>0</v>
      </c>
      <c r="O22" s="16">
        <f t="shared" si="10"/>
        <v>0</v>
      </c>
      <c r="P22" s="16">
        <f t="shared" si="11"/>
        <v>0</v>
      </c>
      <c r="Q22" s="16">
        <f t="shared" si="12"/>
        <v>0</v>
      </c>
      <c r="R22" s="16">
        <f t="shared" si="13"/>
        <v>0</v>
      </c>
      <c r="S22" s="16">
        <f t="shared" si="14"/>
        <v>0</v>
      </c>
      <c r="T22" s="16">
        <f t="shared" si="15"/>
        <v>0</v>
      </c>
      <c r="U22" s="16">
        <f t="shared" si="16"/>
        <v>0</v>
      </c>
      <c r="V22" s="16">
        <f t="shared" si="17"/>
        <v>0</v>
      </c>
      <c r="W22" s="16">
        <f t="shared" si="18"/>
        <v>0</v>
      </c>
      <c r="X22" s="16">
        <f t="shared" si="19"/>
        <v>0</v>
      </c>
      <c r="Y22" s="16">
        <f t="shared" si="20"/>
        <v>0</v>
      </c>
      <c r="Z22" s="16">
        <f t="shared" si="21"/>
        <v>0</v>
      </c>
      <c r="AA22" s="16">
        <f t="shared" si="22"/>
        <v>0</v>
      </c>
      <c r="AB22" s="16">
        <f t="shared" si="23"/>
        <v>0</v>
      </c>
      <c r="AC22" s="16">
        <f t="shared" si="24"/>
        <v>0</v>
      </c>
      <c r="AD22" s="16">
        <f t="shared" si="25"/>
        <v>0</v>
      </c>
      <c r="AE22" s="16">
        <f t="shared" si="26"/>
        <v>0</v>
      </c>
      <c r="AF22" s="16">
        <f t="shared" si="27"/>
        <v>0</v>
      </c>
      <c r="AG22" s="16">
        <f t="shared" si="28"/>
        <v>0</v>
      </c>
      <c r="AH22" s="16">
        <f t="shared" si="29"/>
        <v>0</v>
      </c>
      <c r="AI22" s="16">
        <f t="shared" si="30"/>
        <v>0</v>
      </c>
      <c r="AJ22" s="16">
        <f t="shared" si="31"/>
        <v>0</v>
      </c>
      <c r="AK22" s="16"/>
      <c r="AL22" s="16"/>
      <c r="AM22" s="16">
        <f>IF(NOT(ISNUMBER('Registru mijloace fixe'!$R22)),0,MAX(0,MIN(((YEAR(LunaRef)-YEAR('Registru mijloace fixe'!$R22))*12+MONTH(LunaRef)-MONTH('Registru mijloace fixe'!$R22)+1)-1,IF(ISNUMBER('Registru mijloace fixe'!$N22),((YEAR('Registru mijloace fixe'!$N22)-YEAR('Registru mijloace fixe'!$R22))*12+MONTH('Registru mijloace fixe'!$N22)-MONTH('Registru mijloace fixe'!$R22)+1),9999),C22*12)))</f>
        <v>0</v>
      </c>
      <c r="AN22" s="27">
        <f>IF(NOT(ISNUMBER('Registru mijloace fixe'!$R22)),0,MAX(0,MIN(((YEAR(LunaRef)-YEAR('Registru mijloace fixe'!$R22))*12+MONTH(LunaRef)-MONTH('Registru mijloace fixe'!$R22)+1),IF(ISNUMBER('Registru mijloace fixe'!$N22),((YEAR('Registru mijloace fixe'!$N22)-YEAR('Registru mijloace fixe'!$R22))*12+MONTH('Registru mijloace fixe'!$N22)-MONTH('Registru mijloace fixe'!$R22)+1),9999),C22*12)))</f>
        <v>0</v>
      </c>
      <c r="AO22" s="16">
        <f t="shared" si="32"/>
        <v>0</v>
      </c>
      <c r="AP22" s="16">
        <f t="shared" si="33"/>
        <v>0</v>
      </c>
      <c r="AQ22" s="16">
        <f t="shared" si="34"/>
        <v>0</v>
      </c>
      <c r="AR22" s="16">
        <f t="shared" si="35"/>
        <v>0</v>
      </c>
      <c r="AS22" s="16">
        <f t="shared" si="36"/>
        <v>0</v>
      </c>
      <c r="AT22" s="16">
        <f t="shared" si="37"/>
        <v>0</v>
      </c>
      <c r="AU22" s="16">
        <f t="shared" si="38"/>
        <v>0</v>
      </c>
      <c r="AV22" s="16">
        <f t="shared" si="39"/>
        <v>0</v>
      </c>
      <c r="AW22" s="16">
        <f t="shared" si="40"/>
        <v>0</v>
      </c>
      <c r="AX22" s="16">
        <f t="shared" si="41"/>
        <v>0</v>
      </c>
      <c r="AY22" s="16">
        <f t="shared" si="42"/>
        <v>0</v>
      </c>
      <c r="AZ22" s="16">
        <f t="shared" si="43"/>
        <v>0</v>
      </c>
      <c r="BA22" s="16">
        <f t="shared" si="44"/>
        <v>0</v>
      </c>
      <c r="BB22" s="16">
        <f t="shared" si="45"/>
        <v>0</v>
      </c>
      <c r="BC22" s="16">
        <f t="shared" si="46"/>
        <v>0</v>
      </c>
      <c r="BD22" s="16">
        <f t="shared" si="47"/>
        <v>0</v>
      </c>
      <c r="BE22" s="16">
        <f t="shared" si="48"/>
        <v>0</v>
      </c>
      <c r="BF22" s="16">
        <f t="shared" si="49"/>
        <v>0</v>
      </c>
      <c r="BG22" s="16">
        <f t="shared" si="50"/>
        <v>0</v>
      </c>
      <c r="BH22" s="16">
        <f t="shared" si="51"/>
        <v>0</v>
      </c>
      <c r="BI22" s="16">
        <f t="shared" si="52"/>
        <v>0</v>
      </c>
      <c r="BJ22" s="16">
        <f t="shared" si="53"/>
        <v>0</v>
      </c>
      <c r="BK22" s="16">
        <f t="shared" si="54"/>
        <v>0</v>
      </c>
      <c r="BL22" s="16">
        <f t="shared" si="55"/>
        <v>0</v>
      </c>
      <c r="BM22" s="16">
        <f t="shared" si="56"/>
        <v>0</v>
      </c>
      <c r="BN22" s="16">
        <f t="shared" si="57"/>
        <v>0</v>
      </c>
      <c r="BO22" s="16">
        <f t="shared" si="58"/>
        <v>0</v>
      </c>
      <c r="BP22" s="16">
        <f t="shared" si="59"/>
        <v>0</v>
      </c>
      <c r="BQ22" s="16">
        <f t="shared" si="60"/>
        <v>0</v>
      </c>
      <c r="BR22" s="16">
        <f t="shared" si="61"/>
        <v>0</v>
      </c>
      <c r="BS22" s="16">
        <f t="shared" si="62"/>
        <v>0</v>
      </c>
      <c r="BT22" s="16">
        <f t="shared" si="63"/>
        <v>0</v>
      </c>
    </row>
    <row r="23" spans="2:72" x14ac:dyDescent="0.2">
      <c r="B23" s="16">
        <f>N('Registru mijloace fixe'!$I23)</f>
        <v>0</v>
      </c>
      <c r="C23" s="27">
        <f>N('Registru mijloace fixe'!$J23)</f>
        <v>0</v>
      </c>
      <c r="D23" s="16" t="str">
        <f>'Registru mijloace fixe'!$K23&amp;""</f>
        <v/>
      </c>
      <c r="E23" s="16">
        <f t="shared" si="0"/>
        <v>1.5</v>
      </c>
      <c r="F23" s="16">
        <f t="shared" si="1"/>
        <v>0.5</v>
      </c>
      <c r="G23" s="16">
        <f t="shared" si="2"/>
        <v>0</v>
      </c>
      <c r="H23" s="16">
        <f t="shared" si="3"/>
        <v>0</v>
      </c>
      <c r="I23" s="16">
        <f t="shared" si="4"/>
        <v>0</v>
      </c>
      <c r="J23" s="16">
        <f t="shared" si="5"/>
        <v>0</v>
      </c>
      <c r="K23" s="16">
        <f t="shared" si="6"/>
        <v>0</v>
      </c>
      <c r="L23" s="16">
        <f t="shared" si="7"/>
        <v>0</v>
      </c>
      <c r="M23" s="16">
        <f t="shared" si="8"/>
        <v>0</v>
      </c>
      <c r="N23" s="16">
        <f t="shared" si="9"/>
        <v>0</v>
      </c>
      <c r="O23" s="16">
        <f t="shared" si="10"/>
        <v>0</v>
      </c>
      <c r="P23" s="16">
        <f t="shared" si="11"/>
        <v>0</v>
      </c>
      <c r="Q23" s="16">
        <f t="shared" si="12"/>
        <v>0</v>
      </c>
      <c r="R23" s="16">
        <f t="shared" si="13"/>
        <v>0</v>
      </c>
      <c r="S23" s="16">
        <f t="shared" si="14"/>
        <v>0</v>
      </c>
      <c r="T23" s="16">
        <f t="shared" si="15"/>
        <v>0</v>
      </c>
      <c r="U23" s="16">
        <f t="shared" si="16"/>
        <v>0</v>
      </c>
      <c r="V23" s="16">
        <f t="shared" si="17"/>
        <v>0</v>
      </c>
      <c r="W23" s="16">
        <f t="shared" si="18"/>
        <v>0</v>
      </c>
      <c r="X23" s="16">
        <f t="shared" si="19"/>
        <v>0</v>
      </c>
      <c r="Y23" s="16">
        <f t="shared" si="20"/>
        <v>0</v>
      </c>
      <c r="Z23" s="16">
        <f t="shared" si="21"/>
        <v>0</v>
      </c>
      <c r="AA23" s="16">
        <f t="shared" si="22"/>
        <v>0</v>
      </c>
      <c r="AB23" s="16">
        <f t="shared" si="23"/>
        <v>0</v>
      </c>
      <c r="AC23" s="16">
        <f t="shared" si="24"/>
        <v>0</v>
      </c>
      <c r="AD23" s="16">
        <f t="shared" si="25"/>
        <v>0</v>
      </c>
      <c r="AE23" s="16">
        <f t="shared" si="26"/>
        <v>0</v>
      </c>
      <c r="AF23" s="16">
        <f t="shared" si="27"/>
        <v>0</v>
      </c>
      <c r="AG23" s="16">
        <f t="shared" si="28"/>
        <v>0</v>
      </c>
      <c r="AH23" s="16">
        <f t="shared" si="29"/>
        <v>0</v>
      </c>
      <c r="AI23" s="16">
        <f t="shared" si="30"/>
        <v>0</v>
      </c>
      <c r="AJ23" s="16">
        <f t="shared" si="31"/>
        <v>0</v>
      </c>
      <c r="AK23" s="16"/>
      <c r="AL23" s="16"/>
      <c r="AM23" s="16">
        <f>IF(NOT(ISNUMBER('Registru mijloace fixe'!$R23)),0,MAX(0,MIN(((YEAR(LunaRef)-YEAR('Registru mijloace fixe'!$R23))*12+MONTH(LunaRef)-MONTH('Registru mijloace fixe'!$R23)+1)-1,IF(ISNUMBER('Registru mijloace fixe'!$N23),((YEAR('Registru mijloace fixe'!$N23)-YEAR('Registru mijloace fixe'!$R23))*12+MONTH('Registru mijloace fixe'!$N23)-MONTH('Registru mijloace fixe'!$R23)+1),9999),C23*12)))</f>
        <v>0</v>
      </c>
      <c r="AN23" s="27">
        <f>IF(NOT(ISNUMBER('Registru mijloace fixe'!$R23)),0,MAX(0,MIN(((YEAR(LunaRef)-YEAR('Registru mijloace fixe'!$R23))*12+MONTH(LunaRef)-MONTH('Registru mijloace fixe'!$R23)+1),IF(ISNUMBER('Registru mijloace fixe'!$N23),((YEAR('Registru mijloace fixe'!$N23)-YEAR('Registru mijloace fixe'!$R23))*12+MONTH('Registru mijloace fixe'!$N23)-MONTH('Registru mijloace fixe'!$R23)+1),9999),C23*12)))</f>
        <v>0</v>
      </c>
      <c r="AO23" s="16">
        <f t="shared" si="32"/>
        <v>0</v>
      </c>
      <c r="AP23" s="16">
        <f t="shared" si="33"/>
        <v>0</v>
      </c>
      <c r="AQ23" s="16">
        <f t="shared" si="34"/>
        <v>0</v>
      </c>
      <c r="AR23" s="16">
        <f t="shared" si="35"/>
        <v>0</v>
      </c>
      <c r="AS23" s="16">
        <f t="shared" si="36"/>
        <v>0</v>
      </c>
      <c r="AT23" s="16">
        <f t="shared" si="37"/>
        <v>0</v>
      </c>
      <c r="AU23" s="16">
        <f t="shared" si="38"/>
        <v>0</v>
      </c>
      <c r="AV23" s="16">
        <f t="shared" si="39"/>
        <v>0</v>
      </c>
      <c r="AW23" s="16">
        <f t="shared" si="40"/>
        <v>0</v>
      </c>
      <c r="AX23" s="16">
        <f t="shared" si="41"/>
        <v>0</v>
      </c>
      <c r="AY23" s="16">
        <f t="shared" si="42"/>
        <v>0</v>
      </c>
      <c r="AZ23" s="16">
        <f t="shared" si="43"/>
        <v>0</v>
      </c>
      <c r="BA23" s="16">
        <f t="shared" si="44"/>
        <v>0</v>
      </c>
      <c r="BB23" s="16">
        <f t="shared" si="45"/>
        <v>0</v>
      </c>
      <c r="BC23" s="16">
        <f t="shared" si="46"/>
        <v>0</v>
      </c>
      <c r="BD23" s="16">
        <f t="shared" si="47"/>
        <v>0</v>
      </c>
      <c r="BE23" s="16">
        <f t="shared" si="48"/>
        <v>0</v>
      </c>
      <c r="BF23" s="16">
        <f t="shared" si="49"/>
        <v>0</v>
      </c>
      <c r="BG23" s="16">
        <f t="shared" si="50"/>
        <v>0</v>
      </c>
      <c r="BH23" s="16">
        <f t="shared" si="51"/>
        <v>0</v>
      </c>
      <c r="BI23" s="16">
        <f t="shared" si="52"/>
        <v>0</v>
      </c>
      <c r="BJ23" s="16">
        <f t="shared" si="53"/>
        <v>0</v>
      </c>
      <c r="BK23" s="16">
        <f t="shared" si="54"/>
        <v>0</v>
      </c>
      <c r="BL23" s="16">
        <f t="shared" si="55"/>
        <v>0</v>
      </c>
      <c r="BM23" s="16">
        <f t="shared" si="56"/>
        <v>0</v>
      </c>
      <c r="BN23" s="16">
        <f t="shared" si="57"/>
        <v>0</v>
      </c>
      <c r="BO23" s="16">
        <f t="shared" si="58"/>
        <v>0</v>
      </c>
      <c r="BP23" s="16">
        <f t="shared" si="59"/>
        <v>0</v>
      </c>
      <c r="BQ23" s="16">
        <f t="shared" si="60"/>
        <v>0</v>
      </c>
      <c r="BR23" s="16">
        <f t="shared" si="61"/>
        <v>0</v>
      </c>
      <c r="BS23" s="16">
        <f t="shared" si="62"/>
        <v>0</v>
      </c>
      <c r="BT23" s="16">
        <f t="shared" si="63"/>
        <v>0</v>
      </c>
    </row>
    <row r="24" spans="2:72" x14ac:dyDescent="0.2">
      <c r="B24" s="16">
        <f>N('Registru mijloace fixe'!$I24)</f>
        <v>0</v>
      </c>
      <c r="C24" s="27">
        <f>N('Registru mijloace fixe'!$J24)</f>
        <v>0</v>
      </c>
      <c r="D24" s="16" t="str">
        <f>'Registru mijloace fixe'!$K24&amp;""</f>
        <v/>
      </c>
      <c r="E24" s="16">
        <f t="shared" si="0"/>
        <v>1.5</v>
      </c>
      <c r="F24" s="16">
        <f t="shared" si="1"/>
        <v>0.5</v>
      </c>
      <c r="G24" s="16">
        <f t="shared" si="2"/>
        <v>0</v>
      </c>
      <c r="H24" s="16">
        <f t="shared" si="3"/>
        <v>0</v>
      </c>
      <c r="I24" s="16">
        <f t="shared" si="4"/>
        <v>0</v>
      </c>
      <c r="J24" s="16">
        <f t="shared" si="5"/>
        <v>0</v>
      </c>
      <c r="K24" s="16">
        <f t="shared" si="6"/>
        <v>0</v>
      </c>
      <c r="L24" s="16">
        <f t="shared" si="7"/>
        <v>0</v>
      </c>
      <c r="M24" s="16">
        <f t="shared" si="8"/>
        <v>0</v>
      </c>
      <c r="N24" s="16">
        <f t="shared" si="9"/>
        <v>0</v>
      </c>
      <c r="O24" s="16">
        <f t="shared" si="10"/>
        <v>0</v>
      </c>
      <c r="P24" s="16">
        <f t="shared" si="11"/>
        <v>0</v>
      </c>
      <c r="Q24" s="16">
        <f t="shared" si="12"/>
        <v>0</v>
      </c>
      <c r="R24" s="16">
        <f t="shared" si="13"/>
        <v>0</v>
      </c>
      <c r="S24" s="16">
        <f t="shared" si="14"/>
        <v>0</v>
      </c>
      <c r="T24" s="16">
        <f t="shared" si="15"/>
        <v>0</v>
      </c>
      <c r="U24" s="16">
        <f t="shared" si="16"/>
        <v>0</v>
      </c>
      <c r="V24" s="16">
        <f t="shared" si="17"/>
        <v>0</v>
      </c>
      <c r="W24" s="16">
        <f t="shared" si="18"/>
        <v>0</v>
      </c>
      <c r="X24" s="16">
        <f t="shared" si="19"/>
        <v>0</v>
      </c>
      <c r="Y24" s="16">
        <f t="shared" si="20"/>
        <v>0</v>
      </c>
      <c r="Z24" s="16">
        <f t="shared" si="21"/>
        <v>0</v>
      </c>
      <c r="AA24" s="16">
        <f t="shared" si="22"/>
        <v>0</v>
      </c>
      <c r="AB24" s="16">
        <f t="shared" si="23"/>
        <v>0</v>
      </c>
      <c r="AC24" s="16">
        <f t="shared" si="24"/>
        <v>0</v>
      </c>
      <c r="AD24" s="16">
        <f t="shared" si="25"/>
        <v>0</v>
      </c>
      <c r="AE24" s="16">
        <f t="shared" si="26"/>
        <v>0</v>
      </c>
      <c r="AF24" s="16">
        <f t="shared" si="27"/>
        <v>0</v>
      </c>
      <c r="AG24" s="16">
        <f t="shared" si="28"/>
        <v>0</v>
      </c>
      <c r="AH24" s="16">
        <f t="shared" si="29"/>
        <v>0</v>
      </c>
      <c r="AI24" s="16">
        <f t="shared" si="30"/>
        <v>0</v>
      </c>
      <c r="AJ24" s="16">
        <f t="shared" si="31"/>
        <v>0</v>
      </c>
      <c r="AK24" s="16"/>
      <c r="AL24" s="16"/>
      <c r="AM24" s="16">
        <f>IF(NOT(ISNUMBER('Registru mijloace fixe'!$R24)),0,MAX(0,MIN(((YEAR(LunaRef)-YEAR('Registru mijloace fixe'!$R24))*12+MONTH(LunaRef)-MONTH('Registru mijloace fixe'!$R24)+1)-1,IF(ISNUMBER('Registru mijloace fixe'!$N24),((YEAR('Registru mijloace fixe'!$N24)-YEAR('Registru mijloace fixe'!$R24))*12+MONTH('Registru mijloace fixe'!$N24)-MONTH('Registru mijloace fixe'!$R24)+1),9999),C24*12)))</f>
        <v>0</v>
      </c>
      <c r="AN24" s="27">
        <f>IF(NOT(ISNUMBER('Registru mijloace fixe'!$R24)),0,MAX(0,MIN(((YEAR(LunaRef)-YEAR('Registru mijloace fixe'!$R24))*12+MONTH(LunaRef)-MONTH('Registru mijloace fixe'!$R24)+1),IF(ISNUMBER('Registru mijloace fixe'!$N24),((YEAR('Registru mijloace fixe'!$N24)-YEAR('Registru mijloace fixe'!$R24))*12+MONTH('Registru mijloace fixe'!$N24)-MONTH('Registru mijloace fixe'!$R24)+1),9999),C24*12)))</f>
        <v>0</v>
      </c>
      <c r="AO24" s="16">
        <f t="shared" si="32"/>
        <v>0</v>
      </c>
      <c r="AP24" s="16">
        <f t="shared" si="33"/>
        <v>0</v>
      </c>
      <c r="AQ24" s="16">
        <f t="shared" si="34"/>
        <v>0</v>
      </c>
      <c r="AR24" s="16">
        <f t="shared" si="35"/>
        <v>0</v>
      </c>
      <c r="AS24" s="16">
        <f t="shared" si="36"/>
        <v>0</v>
      </c>
      <c r="AT24" s="16">
        <f t="shared" si="37"/>
        <v>0</v>
      </c>
      <c r="AU24" s="16">
        <f t="shared" si="38"/>
        <v>0</v>
      </c>
      <c r="AV24" s="16">
        <f t="shared" si="39"/>
        <v>0</v>
      </c>
      <c r="AW24" s="16">
        <f t="shared" si="40"/>
        <v>0</v>
      </c>
      <c r="AX24" s="16">
        <f t="shared" si="41"/>
        <v>0</v>
      </c>
      <c r="AY24" s="16">
        <f t="shared" si="42"/>
        <v>0</v>
      </c>
      <c r="AZ24" s="16">
        <f t="shared" si="43"/>
        <v>0</v>
      </c>
      <c r="BA24" s="16">
        <f t="shared" si="44"/>
        <v>0</v>
      </c>
      <c r="BB24" s="16">
        <f t="shared" si="45"/>
        <v>0</v>
      </c>
      <c r="BC24" s="16">
        <f t="shared" si="46"/>
        <v>0</v>
      </c>
      <c r="BD24" s="16">
        <f t="shared" si="47"/>
        <v>0</v>
      </c>
      <c r="BE24" s="16">
        <f t="shared" si="48"/>
        <v>0</v>
      </c>
      <c r="BF24" s="16">
        <f t="shared" si="49"/>
        <v>0</v>
      </c>
      <c r="BG24" s="16">
        <f t="shared" si="50"/>
        <v>0</v>
      </c>
      <c r="BH24" s="16">
        <f t="shared" si="51"/>
        <v>0</v>
      </c>
      <c r="BI24" s="16">
        <f t="shared" si="52"/>
        <v>0</v>
      </c>
      <c r="BJ24" s="16">
        <f t="shared" si="53"/>
        <v>0</v>
      </c>
      <c r="BK24" s="16">
        <f t="shared" si="54"/>
        <v>0</v>
      </c>
      <c r="BL24" s="16">
        <f t="shared" si="55"/>
        <v>0</v>
      </c>
      <c r="BM24" s="16">
        <f t="shared" si="56"/>
        <v>0</v>
      </c>
      <c r="BN24" s="16">
        <f t="shared" si="57"/>
        <v>0</v>
      </c>
      <c r="BO24" s="16">
        <f t="shared" si="58"/>
        <v>0</v>
      </c>
      <c r="BP24" s="16">
        <f t="shared" si="59"/>
        <v>0</v>
      </c>
      <c r="BQ24" s="16">
        <f t="shared" si="60"/>
        <v>0</v>
      </c>
      <c r="BR24" s="16">
        <f t="shared" si="61"/>
        <v>0</v>
      </c>
      <c r="BS24" s="16">
        <f t="shared" si="62"/>
        <v>0</v>
      </c>
      <c r="BT24" s="16">
        <f t="shared" si="63"/>
        <v>0</v>
      </c>
    </row>
    <row r="25" spans="2:72" x14ac:dyDescent="0.2">
      <c r="B25" s="16">
        <f>N('Registru mijloace fixe'!$I25)</f>
        <v>0</v>
      </c>
      <c r="C25" s="27">
        <f>N('Registru mijloace fixe'!$J25)</f>
        <v>0</v>
      </c>
      <c r="D25" s="16" t="str">
        <f>'Registru mijloace fixe'!$K25&amp;""</f>
        <v/>
      </c>
      <c r="E25" s="16">
        <f t="shared" si="0"/>
        <v>1.5</v>
      </c>
      <c r="F25" s="16">
        <f t="shared" si="1"/>
        <v>0.5</v>
      </c>
      <c r="G25" s="16">
        <f t="shared" si="2"/>
        <v>0</v>
      </c>
      <c r="H25" s="16">
        <f t="shared" si="3"/>
        <v>0</v>
      </c>
      <c r="I25" s="16">
        <f t="shared" si="4"/>
        <v>0</v>
      </c>
      <c r="J25" s="16">
        <f t="shared" si="5"/>
        <v>0</v>
      </c>
      <c r="K25" s="16">
        <f t="shared" si="6"/>
        <v>0</v>
      </c>
      <c r="L25" s="16">
        <f t="shared" si="7"/>
        <v>0</v>
      </c>
      <c r="M25" s="16">
        <f t="shared" si="8"/>
        <v>0</v>
      </c>
      <c r="N25" s="16">
        <f t="shared" si="9"/>
        <v>0</v>
      </c>
      <c r="O25" s="16">
        <f t="shared" si="10"/>
        <v>0</v>
      </c>
      <c r="P25" s="16">
        <f t="shared" si="11"/>
        <v>0</v>
      </c>
      <c r="Q25" s="16">
        <f t="shared" si="12"/>
        <v>0</v>
      </c>
      <c r="R25" s="16">
        <f t="shared" si="13"/>
        <v>0</v>
      </c>
      <c r="S25" s="16">
        <f t="shared" si="14"/>
        <v>0</v>
      </c>
      <c r="T25" s="16">
        <f t="shared" si="15"/>
        <v>0</v>
      </c>
      <c r="U25" s="16">
        <f t="shared" si="16"/>
        <v>0</v>
      </c>
      <c r="V25" s="16">
        <f t="shared" si="17"/>
        <v>0</v>
      </c>
      <c r="W25" s="16">
        <f t="shared" si="18"/>
        <v>0</v>
      </c>
      <c r="X25" s="16">
        <f t="shared" si="19"/>
        <v>0</v>
      </c>
      <c r="Y25" s="16">
        <f t="shared" si="20"/>
        <v>0</v>
      </c>
      <c r="Z25" s="16">
        <f t="shared" si="21"/>
        <v>0</v>
      </c>
      <c r="AA25" s="16">
        <f t="shared" si="22"/>
        <v>0</v>
      </c>
      <c r="AB25" s="16">
        <f t="shared" si="23"/>
        <v>0</v>
      </c>
      <c r="AC25" s="16">
        <f t="shared" si="24"/>
        <v>0</v>
      </c>
      <c r="AD25" s="16">
        <f t="shared" si="25"/>
        <v>0</v>
      </c>
      <c r="AE25" s="16">
        <f t="shared" si="26"/>
        <v>0</v>
      </c>
      <c r="AF25" s="16">
        <f t="shared" si="27"/>
        <v>0</v>
      </c>
      <c r="AG25" s="16">
        <f t="shared" si="28"/>
        <v>0</v>
      </c>
      <c r="AH25" s="16">
        <f t="shared" si="29"/>
        <v>0</v>
      </c>
      <c r="AI25" s="16">
        <f t="shared" si="30"/>
        <v>0</v>
      </c>
      <c r="AJ25" s="16">
        <f t="shared" si="31"/>
        <v>0</v>
      </c>
      <c r="AK25" s="16"/>
      <c r="AL25" s="16"/>
      <c r="AM25" s="16">
        <f>IF(NOT(ISNUMBER('Registru mijloace fixe'!$R25)),0,MAX(0,MIN(((YEAR(LunaRef)-YEAR('Registru mijloace fixe'!$R25))*12+MONTH(LunaRef)-MONTH('Registru mijloace fixe'!$R25)+1)-1,IF(ISNUMBER('Registru mijloace fixe'!$N25),((YEAR('Registru mijloace fixe'!$N25)-YEAR('Registru mijloace fixe'!$R25))*12+MONTH('Registru mijloace fixe'!$N25)-MONTH('Registru mijloace fixe'!$R25)+1),9999),C25*12)))</f>
        <v>0</v>
      </c>
      <c r="AN25" s="27">
        <f>IF(NOT(ISNUMBER('Registru mijloace fixe'!$R25)),0,MAX(0,MIN(((YEAR(LunaRef)-YEAR('Registru mijloace fixe'!$R25))*12+MONTH(LunaRef)-MONTH('Registru mijloace fixe'!$R25)+1),IF(ISNUMBER('Registru mijloace fixe'!$N25),((YEAR('Registru mijloace fixe'!$N25)-YEAR('Registru mijloace fixe'!$R25))*12+MONTH('Registru mijloace fixe'!$N25)-MONTH('Registru mijloace fixe'!$R25)+1),9999),C25*12)))</f>
        <v>0</v>
      </c>
      <c r="AO25" s="16">
        <f t="shared" si="32"/>
        <v>0</v>
      </c>
      <c r="AP25" s="16">
        <f t="shared" si="33"/>
        <v>0</v>
      </c>
      <c r="AQ25" s="16">
        <f t="shared" si="34"/>
        <v>0</v>
      </c>
      <c r="AR25" s="16">
        <f t="shared" si="35"/>
        <v>0</v>
      </c>
      <c r="AS25" s="16">
        <f t="shared" si="36"/>
        <v>0</v>
      </c>
      <c r="AT25" s="16">
        <f t="shared" si="37"/>
        <v>0</v>
      </c>
      <c r="AU25" s="16">
        <f t="shared" si="38"/>
        <v>0</v>
      </c>
      <c r="AV25" s="16">
        <f t="shared" si="39"/>
        <v>0</v>
      </c>
      <c r="AW25" s="16">
        <f t="shared" si="40"/>
        <v>0</v>
      </c>
      <c r="AX25" s="16">
        <f t="shared" si="41"/>
        <v>0</v>
      </c>
      <c r="AY25" s="16">
        <f t="shared" si="42"/>
        <v>0</v>
      </c>
      <c r="AZ25" s="16">
        <f t="shared" si="43"/>
        <v>0</v>
      </c>
      <c r="BA25" s="16">
        <f t="shared" si="44"/>
        <v>0</v>
      </c>
      <c r="BB25" s="16">
        <f t="shared" si="45"/>
        <v>0</v>
      </c>
      <c r="BC25" s="16">
        <f t="shared" si="46"/>
        <v>0</v>
      </c>
      <c r="BD25" s="16">
        <f t="shared" si="47"/>
        <v>0</v>
      </c>
      <c r="BE25" s="16">
        <f t="shared" si="48"/>
        <v>0</v>
      </c>
      <c r="BF25" s="16">
        <f t="shared" si="49"/>
        <v>0</v>
      </c>
      <c r="BG25" s="16">
        <f t="shared" si="50"/>
        <v>0</v>
      </c>
      <c r="BH25" s="16">
        <f t="shared" si="51"/>
        <v>0</v>
      </c>
      <c r="BI25" s="16">
        <f t="shared" si="52"/>
        <v>0</v>
      </c>
      <c r="BJ25" s="16">
        <f t="shared" si="53"/>
        <v>0</v>
      </c>
      <c r="BK25" s="16">
        <f t="shared" si="54"/>
        <v>0</v>
      </c>
      <c r="BL25" s="16">
        <f t="shared" si="55"/>
        <v>0</v>
      </c>
      <c r="BM25" s="16">
        <f t="shared" si="56"/>
        <v>0</v>
      </c>
      <c r="BN25" s="16">
        <f t="shared" si="57"/>
        <v>0</v>
      </c>
      <c r="BO25" s="16">
        <f t="shared" si="58"/>
        <v>0</v>
      </c>
      <c r="BP25" s="16">
        <f t="shared" si="59"/>
        <v>0</v>
      </c>
      <c r="BQ25" s="16">
        <f t="shared" si="60"/>
        <v>0</v>
      </c>
      <c r="BR25" s="16">
        <f t="shared" si="61"/>
        <v>0</v>
      </c>
      <c r="BS25" s="16">
        <f t="shared" si="62"/>
        <v>0</v>
      </c>
      <c r="BT25" s="16">
        <f t="shared" si="63"/>
        <v>0</v>
      </c>
    </row>
    <row r="26" spans="2:72" x14ac:dyDescent="0.2">
      <c r="B26" s="16">
        <f>N('Registru mijloace fixe'!$I26)</f>
        <v>0</v>
      </c>
      <c r="C26" s="27">
        <f>N('Registru mijloace fixe'!$J26)</f>
        <v>0</v>
      </c>
      <c r="D26" s="16" t="str">
        <f>'Registru mijloace fixe'!$K26&amp;""</f>
        <v/>
      </c>
      <c r="E26" s="16">
        <f t="shared" si="0"/>
        <v>1.5</v>
      </c>
      <c r="F26" s="16">
        <f t="shared" si="1"/>
        <v>0.5</v>
      </c>
      <c r="G26" s="16">
        <f t="shared" si="2"/>
        <v>0</v>
      </c>
      <c r="H26" s="16">
        <f t="shared" si="3"/>
        <v>0</v>
      </c>
      <c r="I26" s="16">
        <f t="shared" si="4"/>
        <v>0</v>
      </c>
      <c r="J26" s="16">
        <f t="shared" si="5"/>
        <v>0</v>
      </c>
      <c r="K26" s="16">
        <f t="shared" si="6"/>
        <v>0</v>
      </c>
      <c r="L26" s="16">
        <f t="shared" si="7"/>
        <v>0</v>
      </c>
      <c r="M26" s="16">
        <f t="shared" si="8"/>
        <v>0</v>
      </c>
      <c r="N26" s="16">
        <f t="shared" si="9"/>
        <v>0</v>
      </c>
      <c r="O26" s="16">
        <f t="shared" si="10"/>
        <v>0</v>
      </c>
      <c r="P26" s="16">
        <f t="shared" si="11"/>
        <v>0</v>
      </c>
      <c r="Q26" s="16">
        <f t="shared" si="12"/>
        <v>0</v>
      </c>
      <c r="R26" s="16">
        <f t="shared" si="13"/>
        <v>0</v>
      </c>
      <c r="S26" s="16">
        <f t="shared" si="14"/>
        <v>0</v>
      </c>
      <c r="T26" s="16">
        <f t="shared" si="15"/>
        <v>0</v>
      </c>
      <c r="U26" s="16">
        <f t="shared" si="16"/>
        <v>0</v>
      </c>
      <c r="V26" s="16">
        <f t="shared" si="17"/>
        <v>0</v>
      </c>
      <c r="W26" s="16">
        <f t="shared" si="18"/>
        <v>0</v>
      </c>
      <c r="X26" s="16">
        <f t="shared" si="19"/>
        <v>0</v>
      </c>
      <c r="Y26" s="16">
        <f t="shared" si="20"/>
        <v>0</v>
      </c>
      <c r="Z26" s="16">
        <f t="shared" si="21"/>
        <v>0</v>
      </c>
      <c r="AA26" s="16">
        <f t="shared" si="22"/>
        <v>0</v>
      </c>
      <c r="AB26" s="16">
        <f t="shared" si="23"/>
        <v>0</v>
      </c>
      <c r="AC26" s="16">
        <f t="shared" si="24"/>
        <v>0</v>
      </c>
      <c r="AD26" s="16">
        <f t="shared" si="25"/>
        <v>0</v>
      </c>
      <c r="AE26" s="16">
        <f t="shared" si="26"/>
        <v>0</v>
      </c>
      <c r="AF26" s="16">
        <f t="shared" si="27"/>
        <v>0</v>
      </c>
      <c r="AG26" s="16">
        <f t="shared" si="28"/>
        <v>0</v>
      </c>
      <c r="AH26" s="16">
        <f t="shared" si="29"/>
        <v>0</v>
      </c>
      <c r="AI26" s="16">
        <f t="shared" si="30"/>
        <v>0</v>
      </c>
      <c r="AJ26" s="16">
        <f t="shared" si="31"/>
        <v>0</v>
      </c>
      <c r="AK26" s="16"/>
      <c r="AL26" s="16"/>
      <c r="AM26" s="16">
        <f>IF(NOT(ISNUMBER('Registru mijloace fixe'!$R26)),0,MAX(0,MIN(((YEAR(LunaRef)-YEAR('Registru mijloace fixe'!$R26))*12+MONTH(LunaRef)-MONTH('Registru mijloace fixe'!$R26)+1)-1,IF(ISNUMBER('Registru mijloace fixe'!$N26),((YEAR('Registru mijloace fixe'!$N26)-YEAR('Registru mijloace fixe'!$R26))*12+MONTH('Registru mijloace fixe'!$N26)-MONTH('Registru mijloace fixe'!$R26)+1),9999),C26*12)))</f>
        <v>0</v>
      </c>
      <c r="AN26" s="27">
        <f>IF(NOT(ISNUMBER('Registru mijloace fixe'!$R26)),0,MAX(0,MIN(((YEAR(LunaRef)-YEAR('Registru mijloace fixe'!$R26))*12+MONTH(LunaRef)-MONTH('Registru mijloace fixe'!$R26)+1),IF(ISNUMBER('Registru mijloace fixe'!$N26),((YEAR('Registru mijloace fixe'!$N26)-YEAR('Registru mijloace fixe'!$R26))*12+MONTH('Registru mijloace fixe'!$N26)-MONTH('Registru mijloace fixe'!$R26)+1),9999),C26*12)))</f>
        <v>0</v>
      </c>
      <c r="AO26" s="16">
        <f t="shared" si="32"/>
        <v>0</v>
      </c>
      <c r="AP26" s="16">
        <f t="shared" si="33"/>
        <v>0</v>
      </c>
      <c r="AQ26" s="16">
        <f t="shared" si="34"/>
        <v>0</v>
      </c>
      <c r="AR26" s="16">
        <f t="shared" si="35"/>
        <v>0</v>
      </c>
      <c r="AS26" s="16">
        <f t="shared" si="36"/>
        <v>0</v>
      </c>
      <c r="AT26" s="16">
        <f t="shared" si="37"/>
        <v>0</v>
      </c>
      <c r="AU26" s="16">
        <f t="shared" si="38"/>
        <v>0</v>
      </c>
      <c r="AV26" s="16">
        <f t="shared" si="39"/>
        <v>0</v>
      </c>
      <c r="AW26" s="16">
        <f t="shared" si="40"/>
        <v>0</v>
      </c>
      <c r="AX26" s="16">
        <f t="shared" si="41"/>
        <v>0</v>
      </c>
      <c r="AY26" s="16">
        <f t="shared" si="42"/>
        <v>0</v>
      </c>
      <c r="AZ26" s="16">
        <f t="shared" si="43"/>
        <v>0</v>
      </c>
      <c r="BA26" s="16">
        <f t="shared" si="44"/>
        <v>0</v>
      </c>
      <c r="BB26" s="16">
        <f t="shared" si="45"/>
        <v>0</v>
      </c>
      <c r="BC26" s="16">
        <f t="shared" si="46"/>
        <v>0</v>
      </c>
      <c r="BD26" s="16">
        <f t="shared" si="47"/>
        <v>0</v>
      </c>
      <c r="BE26" s="16">
        <f t="shared" si="48"/>
        <v>0</v>
      </c>
      <c r="BF26" s="16">
        <f t="shared" si="49"/>
        <v>0</v>
      </c>
      <c r="BG26" s="16">
        <f t="shared" si="50"/>
        <v>0</v>
      </c>
      <c r="BH26" s="16">
        <f t="shared" si="51"/>
        <v>0</v>
      </c>
      <c r="BI26" s="16">
        <f t="shared" si="52"/>
        <v>0</v>
      </c>
      <c r="BJ26" s="16">
        <f t="shared" si="53"/>
        <v>0</v>
      </c>
      <c r="BK26" s="16">
        <f t="shared" si="54"/>
        <v>0</v>
      </c>
      <c r="BL26" s="16">
        <f t="shared" si="55"/>
        <v>0</v>
      </c>
      <c r="BM26" s="16">
        <f t="shared" si="56"/>
        <v>0</v>
      </c>
      <c r="BN26" s="16">
        <f t="shared" si="57"/>
        <v>0</v>
      </c>
      <c r="BO26" s="16">
        <f t="shared" si="58"/>
        <v>0</v>
      </c>
      <c r="BP26" s="16">
        <f t="shared" si="59"/>
        <v>0</v>
      </c>
      <c r="BQ26" s="16">
        <f t="shared" si="60"/>
        <v>0</v>
      </c>
      <c r="BR26" s="16">
        <f t="shared" si="61"/>
        <v>0</v>
      </c>
      <c r="BS26" s="16">
        <f t="shared" si="62"/>
        <v>0</v>
      </c>
      <c r="BT26" s="16">
        <f t="shared" si="63"/>
        <v>0</v>
      </c>
    </row>
    <row r="27" spans="2:72" x14ac:dyDescent="0.2">
      <c r="B27" s="16">
        <f>N('Registru mijloace fixe'!$I27)</f>
        <v>0</v>
      </c>
      <c r="C27" s="27">
        <f>N('Registru mijloace fixe'!$J27)</f>
        <v>0</v>
      </c>
      <c r="D27" s="16" t="str">
        <f>'Registru mijloace fixe'!$K27&amp;""</f>
        <v/>
      </c>
      <c r="E27" s="16">
        <f t="shared" si="0"/>
        <v>1.5</v>
      </c>
      <c r="F27" s="16">
        <f t="shared" si="1"/>
        <v>0.5</v>
      </c>
      <c r="G27" s="16">
        <f t="shared" si="2"/>
        <v>0</v>
      </c>
      <c r="H27" s="16">
        <f t="shared" si="3"/>
        <v>0</v>
      </c>
      <c r="I27" s="16">
        <f t="shared" si="4"/>
        <v>0</v>
      </c>
      <c r="J27" s="16">
        <f t="shared" si="5"/>
        <v>0</v>
      </c>
      <c r="K27" s="16">
        <f t="shared" si="6"/>
        <v>0</v>
      </c>
      <c r="L27" s="16">
        <f t="shared" si="7"/>
        <v>0</v>
      </c>
      <c r="M27" s="16">
        <f t="shared" si="8"/>
        <v>0</v>
      </c>
      <c r="N27" s="16">
        <f t="shared" si="9"/>
        <v>0</v>
      </c>
      <c r="O27" s="16">
        <f t="shared" si="10"/>
        <v>0</v>
      </c>
      <c r="P27" s="16">
        <f t="shared" si="11"/>
        <v>0</v>
      </c>
      <c r="Q27" s="16">
        <f t="shared" si="12"/>
        <v>0</v>
      </c>
      <c r="R27" s="16">
        <f t="shared" si="13"/>
        <v>0</v>
      </c>
      <c r="S27" s="16">
        <f t="shared" si="14"/>
        <v>0</v>
      </c>
      <c r="T27" s="16">
        <f t="shared" si="15"/>
        <v>0</v>
      </c>
      <c r="U27" s="16">
        <f t="shared" si="16"/>
        <v>0</v>
      </c>
      <c r="V27" s="16">
        <f t="shared" si="17"/>
        <v>0</v>
      </c>
      <c r="W27" s="16">
        <f t="shared" si="18"/>
        <v>0</v>
      </c>
      <c r="X27" s="16">
        <f t="shared" si="19"/>
        <v>0</v>
      </c>
      <c r="Y27" s="16">
        <f t="shared" si="20"/>
        <v>0</v>
      </c>
      <c r="Z27" s="16">
        <f t="shared" si="21"/>
        <v>0</v>
      </c>
      <c r="AA27" s="16">
        <f t="shared" si="22"/>
        <v>0</v>
      </c>
      <c r="AB27" s="16">
        <f t="shared" si="23"/>
        <v>0</v>
      </c>
      <c r="AC27" s="16">
        <f t="shared" si="24"/>
        <v>0</v>
      </c>
      <c r="AD27" s="16">
        <f t="shared" si="25"/>
        <v>0</v>
      </c>
      <c r="AE27" s="16">
        <f t="shared" si="26"/>
        <v>0</v>
      </c>
      <c r="AF27" s="16">
        <f t="shared" si="27"/>
        <v>0</v>
      </c>
      <c r="AG27" s="16">
        <f t="shared" si="28"/>
        <v>0</v>
      </c>
      <c r="AH27" s="16">
        <f t="shared" si="29"/>
        <v>0</v>
      </c>
      <c r="AI27" s="16">
        <f t="shared" si="30"/>
        <v>0</v>
      </c>
      <c r="AJ27" s="16">
        <f t="shared" si="31"/>
        <v>0</v>
      </c>
      <c r="AK27" s="16"/>
      <c r="AL27" s="16"/>
      <c r="AM27" s="16">
        <f>IF(NOT(ISNUMBER('Registru mijloace fixe'!$R27)),0,MAX(0,MIN(((YEAR(LunaRef)-YEAR('Registru mijloace fixe'!$R27))*12+MONTH(LunaRef)-MONTH('Registru mijloace fixe'!$R27)+1)-1,IF(ISNUMBER('Registru mijloace fixe'!$N27),((YEAR('Registru mijloace fixe'!$N27)-YEAR('Registru mijloace fixe'!$R27))*12+MONTH('Registru mijloace fixe'!$N27)-MONTH('Registru mijloace fixe'!$R27)+1),9999),C27*12)))</f>
        <v>0</v>
      </c>
      <c r="AN27" s="27">
        <f>IF(NOT(ISNUMBER('Registru mijloace fixe'!$R27)),0,MAX(0,MIN(((YEAR(LunaRef)-YEAR('Registru mijloace fixe'!$R27))*12+MONTH(LunaRef)-MONTH('Registru mijloace fixe'!$R27)+1),IF(ISNUMBER('Registru mijloace fixe'!$N27),((YEAR('Registru mijloace fixe'!$N27)-YEAR('Registru mijloace fixe'!$R27))*12+MONTH('Registru mijloace fixe'!$N27)-MONTH('Registru mijloace fixe'!$R27)+1),9999),C27*12)))</f>
        <v>0</v>
      </c>
      <c r="AO27" s="16">
        <f t="shared" si="32"/>
        <v>0</v>
      </c>
      <c r="AP27" s="16">
        <f t="shared" si="33"/>
        <v>0</v>
      </c>
      <c r="AQ27" s="16">
        <f t="shared" si="34"/>
        <v>0</v>
      </c>
      <c r="AR27" s="16">
        <f t="shared" si="35"/>
        <v>0</v>
      </c>
      <c r="AS27" s="16">
        <f t="shared" si="36"/>
        <v>0</v>
      </c>
      <c r="AT27" s="16">
        <f t="shared" si="37"/>
        <v>0</v>
      </c>
      <c r="AU27" s="16">
        <f t="shared" si="38"/>
        <v>0</v>
      </c>
      <c r="AV27" s="16">
        <f t="shared" si="39"/>
        <v>0</v>
      </c>
      <c r="AW27" s="16">
        <f t="shared" si="40"/>
        <v>0</v>
      </c>
      <c r="AX27" s="16">
        <f t="shared" si="41"/>
        <v>0</v>
      </c>
      <c r="AY27" s="16">
        <f t="shared" si="42"/>
        <v>0</v>
      </c>
      <c r="AZ27" s="16">
        <f t="shared" si="43"/>
        <v>0</v>
      </c>
      <c r="BA27" s="16">
        <f t="shared" si="44"/>
        <v>0</v>
      </c>
      <c r="BB27" s="16">
        <f t="shared" si="45"/>
        <v>0</v>
      </c>
      <c r="BC27" s="16">
        <f t="shared" si="46"/>
        <v>0</v>
      </c>
      <c r="BD27" s="16">
        <f t="shared" si="47"/>
        <v>0</v>
      </c>
      <c r="BE27" s="16">
        <f t="shared" si="48"/>
        <v>0</v>
      </c>
      <c r="BF27" s="16">
        <f t="shared" si="49"/>
        <v>0</v>
      </c>
      <c r="BG27" s="16">
        <f t="shared" si="50"/>
        <v>0</v>
      </c>
      <c r="BH27" s="16">
        <f t="shared" si="51"/>
        <v>0</v>
      </c>
      <c r="BI27" s="16">
        <f t="shared" si="52"/>
        <v>0</v>
      </c>
      <c r="BJ27" s="16">
        <f t="shared" si="53"/>
        <v>0</v>
      </c>
      <c r="BK27" s="16">
        <f t="shared" si="54"/>
        <v>0</v>
      </c>
      <c r="BL27" s="16">
        <f t="shared" si="55"/>
        <v>0</v>
      </c>
      <c r="BM27" s="16">
        <f t="shared" si="56"/>
        <v>0</v>
      </c>
      <c r="BN27" s="16">
        <f t="shared" si="57"/>
        <v>0</v>
      </c>
      <c r="BO27" s="16">
        <f t="shared" si="58"/>
        <v>0</v>
      </c>
      <c r="BP27" s="16">
        <f t="shared" si="59"/>
        <v>0</v>
      </c>
      <c r="BQ27" s="16">
        <f t="shared" si="60"/>
        <v>0</v>
      </c>
      <c r="BR27" s="16">
        <f t="shared" si="61"/>
        <v>0</v>
      </c>
      <c r="BS27" s="16">
        <f t="shared" si="62"/>
        <v>0</v>
      </c>
      <c r="BT27" s="16">
        <f t="shared" si="63"/>
        <v>0</v>
      </c>
    </row>
    <row r="28" spans="2:72" x14ac:dyDescent="0.2">
      <c r="B28" s="16">
        <f>N('Registru mijloace fixe'!$I28)</f>
        <v>0</v>
      </c>
      <c r="C28" s="27">
        <f>N('Registru mijloace fixe'!$J28)</f>
        <v>0</v>
      </c>
      <c r="D28" s="16" t="str">
        <f>'Registru mijloace fixe'!$K28&amp;""</f>
        <v/>
      </c>
      <c r="E28" s="16">
        <f t="shared" si="0"/>
        <v>1.5</v>
      </c>
      <c r="F28" s="16">
        <f t="shared" si="1"/>
        <v>0.5</v>
      </c>
      <c r="G28" s="16">
        <f t="shared" si="2"/>
        <v>0</v>
      </c>
      <c r="H28" s="16">
        <f t="shared" si="3"/>
        <v>0</v>
      </c>
      <c r="I28" s="16">
        <f t="shared" si="4"/>
        <v>0</v>
      </c>
      <c r="J28" s="16">
        <f t="shared" si="5"/>
        <v>0</v>
      </c>
      <c r="K28" s="16">
        <f t="shared" si="6"/>
        <v>0</v>
      </c>
      <c r="L28" s="16">
        <f t="shared" si="7"/>
        <v>0</v>
      </c>
      <c r="M28" s="16">
        <f t="shared" si="8"/>
        <v>0</v>
      </c>
      <c r="N28" s="16">
        <f t="shared" si="9"/>
        <v>0</v>
      </c>
      <c r="O28" s="16">
        <f t="shared" si="10"/>
        <v>0</v>
      </c>
      <c r="P28" s="16">
        <f t="shared" si="11"/>
        <v>0</v>
      </c>
      <c r="Q28" s="16">
        <f t="shared" si="12"/>
        <v>0</v>
      </c>
      <c r="R28" s="16">
        <f t="shared" si="13"/>
        <v>0</v>
      </c>
      <c r="S28" s="16">
        <f t="shared" si="14"/>
        <v>0</v>
      </c>
      <c r="T28" s="16">
        <f t="shared" si="15"/>
        <v>0</v>
      </c>
      <c r="U28" s="16">
        <f t="shared" si="16"/>
        <v>0</v>
      </c>
      <c r="V28" s="16">
        <f t="shared" si="17"/>
        <v>0</v>
      </c>
      <c r="W28" s="16">
        <f t="shared" si="18"/>
        <v>0</v>
      </c>
      <c r="X28" s="16">
        <f t="shared" si="19"/>
        <v>0</v>
      </c>
      <c r="Y28" s="16">
        <f t="shared" si="20"/>
        <v>0</v>
      </c>
      <c r="Z28" s="16">
        <f t="shared" si="21"/>
        <v>0</v>
      </c>
      <c r="AA28" s="16">
        <f t="shared" si="22"/>
        <v>0</v>
      </c>
      <c r="AB28" s="16">
        <f t="shared" si="23"/>
        <v>0</v>
      </c>
      <c r="AC28" s="16">
        <f t="shared" si="24"/>
        <v>0</v>
      </c>
      <c r="AD28" s="16">
        <f t="shared" si="25"/>
        <v>0</v>
      </c>
      <c r="AE28" s="16">
        <f t="shared" si="26"/>
        <v>0</v>
      </c>
      <c r="AF28" s="16">
        <f t="shared" si="27"/>
        <v>0</v>
      </c>
      <c r="AG28" s="16">
        <f t="shared" si="28"/>
        <v>0</v>
      </c>
      <c r="AH28" s="16">
        <f t="shared" si="29"/>
        <v>0</v>
      </c>
      <c r="AI28" s="16">
        <f t="shared" si="30"/>
        <v>0</v>
      </c>
      <c r="AJ28" s="16">
        <f t="shared" si="31"/>
        <v>0</v>
      </c>
      <c r="AK28" s="16"/>
      <c r="AL28" s="16"/>
      <c r="AM28" s="16">
        <f>IF(NOT(ISNUMBER('Registru mijloace fixe'!$R28)),0,MAX(0,MIN(((YEAR(LunaRef)-YEAR('Registru mijloace fixe'!$R28))*12+MONTH(LunaRef)-MONTH('Registru mijloace fixe'!$R28)+1)-1,IF(ISNUMBER('Registru mijloace fixe'!$N28),((YEAR('Registru mijloace fixe'!$N28)-YEAR('Registru mijloace fixe'!$R28))*12+MONTH('Registru mijloace fixe'!$N28)-MONTH('Registru mijloace fixe'!$R28)+1),9999),C28*12)))</f>
        <v>0</v>
      </c>
      <c r="AN28" s="27">
        <f>IF(NOT(ISNUMBER('Registru mijloace fixe'!$R28)),0,MAX(0,MIN(((YEAR(LunaRef)-YEAR('Registru mijloace fixe'!$R28))*12+MONTH(LunaRef)-MONTH('Registru mijloace fixe'!$R28)+1),IF(ISNUMBER('Registru mijloace fixe'!$N28),((YEAR('Registru mijloace fixe'!$N28)-YEAR('Registru mijloace fixe'!$R28))*12+MONTH('Registru mijloace fixe'!$N28)-MONTH('Registru mijloace fixe'!$R28)+1),9999),C28*12)))</f>
        <v>0</v>
      </c>
      <c r="AO28" s="16">
        <f t="shared" si="32"/>
        <v>0</v>
      </c>
      <c r="AP28" s="16">
        <f t="shared" si="33"/>
        <v>0</v>
      </c>
      <c r="AQ28" s="16">
        <f t="shared" si="34"/>
        <v>0</v>
      </c>
      <c r="AR28" s="16">
        <f t="shared" si="35"/>
        <v>0</v>
      </c>
      <c r="AS28" s="16">
        <f t="shared" si="36"/>
        <v>0</v>
      </c>
      <c r="AT28" s="16">
        <f t="shared" si="37"/>
        <v>0</v>
      </c>
      <c r="AU28" s="16">
        <f t="shared" si="38"/>
        <v>0</v>
      </c>
      <c r="AV28" s="16">
        <f t="shared" si="39"/>
        <v>0</v>
      </c>
      <c r="AW28" s="16">
        <f t="shared" si="40"/>
        <v>0</v>
      </c>
      <c r="AX28" s="16">
        <f t="shared" si="41"/>
        <v>0</v>
      </c>
      <c r="AY28" s="16">
        <f t="shared" si="42"/>
        <v>0</v>
      </c>
      <c r="AZ28" s="16">
        <f t="shared" si="43"/>
        <v>0</v>
      </c>
      <c r="BA28" s="16">
        <f t="shared" si="44"/>
        <v>0</v>
      </c>
      <c r="BB28" s="16">
        <f t="shared" si="45"/>
        <v>0</v>
      </c>
      <c r="BC28" s="16">
        <f t="shared" si="46"/>
        <v>0</v>
      </c>
      <c r="BD28" s="16">
        <f t="shared" si="47"/>
        <v>0</v>
      </c>
      <c r="BE28" s="16">
        <f t="shared" si="48"/>
        <v>0</v>
      </c>
      <c r="BF28" s="16">
        <f t="shared" si="49"/>
        <v>0</v>
      </c>
      <c r="BG28" s="16">
        <f t="shared" si="50"/>
        <v>0</v>
      </c>
      <c r="BH28" s="16">
        <f t="shared" si="51"/>
        <v>0</v>
      </c>
      <c r="BI28" s="16">
        <f t="shared" si="52"/>
        <v>0</v>
      </c>
      <c r="BJ28" s="16">
        <f t="shared" si="53"/>
        <v>0</v>
      </c>
      <c r="BK28" s="16">
        <f t="shared" si="54"/>
        <v>0</v>
      </c>
      <c r="BL28" s="16">
        <f t="shared" si="55"/>
        <v>0</v>
      </c>
      <c r="BM28" s="16">
        <f t="shared" si="56"/>
        <v>0</v>
      </c>
      <c r="BN28" s="16">
        <f t="shared" si="57"/>
        <v>0</v>
      </c>
      <c r="BO28" s="16">
        <f t="shared" si="58"/>
        <v>0</v>
      </c>
      <c r="BP28" s="16">
        <f t="shared" si="59"/>
        <v>0</v>
      </c>
      <c r="BQ28" s="16">
        <f t="shared" si="60"/>
        <v>0</v>
      </c>
      <c r="BR28" s="16">
        <f t="shared" si="61"/>
        <v>0</v>
      </c>
      <c r="BS28" s="16">
        <f t="shared" si="62"/>
        <v>0</v>
      </c>
      <c r="BT28" s="16">
        <f t="shared" si="63"/>
        <v>0</v>
      </c>
    </row>
    <row r="29" spans="2:72" x14ac:dyDescent="0.2">
      <c r="B29" s="16">
        <f>N('Registru mijloace fixe'!$I29)</f>
        <v>0</v>
      </c>
      <c r="C29" s="27">
        <f>N('Registru mijloace fixe'!$J29)</f>
        <v>0</v>
      </c>
      <c r="D29" s="16" t="str">
        <f>'Registru mijloace fixe'!$K29&amp;""</f>
        <v/>
      </c>
      <c r="E29" s="16">
        <f t="shared" si="0"/>
        <v>1.5</v>
      </c>
      <c r="F29" s="16">
        <f t="shared" si="1"/>
        <v>0.5</v>
      </c>
      <c r="G29" s="16">
        <f t="shared" si="2"/>
        <v>0</v>
      </c>
      <c r="H29" s="16">
        <f t="shared" si="3"/>
        <v>0</v>
      </c>
      <c r="I29" s="16">
        <f t="shared" si="4"/>
        <v>0</v>
      </c>
      <c r="J29" s="16">
        <f t="shared" si="5"/>
        <v>0</v>
      </c>
      <c r="K29" s="16">
        <f t="shared" si="6"/>
        <v>0</v>
      </c>
      <c r="L29" s="16">
        <f t="shared" si="7"/>
        <v>0</v>
      </c>
      <c r="M29" s="16">
        <f t="shared" si="8"/>
        <v>0</v>
      </c>
      <c r="N29" s="16">
        <f t="shared" si="9"/>
        <v>0</v>
      </c>
      <c r="O29" s="16">
        <f t="shared" si="10"/>
        <v>0</v>
      </c>
      <c r="P29" s="16">
        <f t="shared" si="11"/>
        <v>0</v>
      </c>
      <c r="Q29" s="16">
        <f t="shared" si="12"/>
        <v>0</v>
      </c>
      <c r="R29" s="16">
        <f t="shared" si="13"/>
        <v>0</v>
      </c>
      <c r="S29" s="16">
        <f t="shared" si="14"/>
        <v>0</v>
      </c>
      <c r="T29" s="16">
        <f t="shared" si="15"/>
        <v>0</v>
      </c>
      <c r="U29" s="16">
        <f t="shared" si="16"/>
        <v>0</v>
      </c>
      <c r="V29" s="16">
        <f t="shared" si="17"/>
        <v>0</v>
      </c>
      <c r="W29" s="16">
        <f t="shared" si="18"/>
        <v>0</v>
      </c>
      <c r="X29" s="16">
        <f t="shared" si="19"/>
        <v>0</v>
      </c>
      <c r="Y29" s="16">
        <f t="shared" si="20"/>
        <v>0</v>
      </c>
      <c r="Z29" s="16">
        <f t="shared" si="21"/>
        <v>0</v>
      </c>
      <c r="AA29" s="16">
        <f t="shared" si="22"/>
        <v>0</v>
      </c>
      <c r="AB29" s="16">
        <f t="shared" si="23"/>
        <v>0</v>
      </c>
      <c r="AC29" s="16">
        <f t="shared" si="24"/>
        <v>0</v>
      </c>
      <c r="AD29" s="16">
        <f t="shared" si="25"/>
        <v>0</v>
      </c>
      <c r="AE29" s="16">
        <f t="shared" si="26"/>
        <v>0</v>
      </c>
      <c r="AF29" s="16">
        <f t="shared" si="27"/>
        <v>0</v>
      </c>
      <c r="AG29" s="16">
        <f t="shared" si="28"/>
        <v>0</v>
      </c>
      <c r="AH29" s="16">
        <f t="shared" si="29"/>
        <v>0</v>
      </c>
      <c r="AI29" s="16">
        <f t="shared" si="30"/>
        <v>0</v>
      </c>
      <c r="AJ29" s="16">
        <f t="shared" si="31"/>
        <v>0</v>
      </c>
      <c r="AK29" s="16"/>
      <c r="AL29" s="16"/>
      <c r="AM29" s="16">
        <f>IF(NOT(ISNUMBER('Registru mijloace fixe'!$R29)),0,MAX(0,MIN(((YEAR(LunaRef)-YEAR('Registru mijloace fixe'!$R29))*12+MONTH(LunaRef)-MONTH('Registru mijloace fixe'!$R29)+1)-1,IF(ISNUMBER('Registru mijloace fixe'!$N29),((YEAR('Registru mijloace fixe'!$N29)-YEAR('Registru mijloace fixe'!$R29))*12+MONTH('Registru mijloace fixe'!$N29)-MONTH('Registru mijloace fixe'!$R29)+1),9999),C29*12)))</f>
        <v>0</v>
      </c>
      <c r="AN29" s="27">
        <f>IF(NOT(ISNUMBER('Registru mijloace fixe'!$R29)),0,MAX(0,MIN(((YEAR(LunaRef)-YEAR('Registru mijloace fixe'!$R29))*12+MONTH(LunaRef)-MONTH('Registru mijloace fixe'!$R29)+1),IF(ISNUMBER('Registru mijloace fixe'!$N29),((YEAR('Registru mijloace fixe'!$N29)-YEAR('Registru mijloace fixe'!$R29))*12+MONTH('Registru mijloace fixe'!$N29)-MONTH('Registru mijloace fixe'!$R29)+1),9999),C29*12)))</f>
        <v>0</v>
      </c>
      <c r="AO29" s="16">
        <f t="shared" si="32"/>
        <v>0</v>
      </c>
      <c r="AP29" s="16">
        <f t="shared" si="33"/>
        <v>0</v>
      </c>
      <c r="AQ29" s="16">
        <f t="shared" si="34"/>
        <v>0</v>
      </c>
      <c r="AR29" s="16">
        <f t="shared" si="35"/>
        <v>0</v>
      </c>
      <c r="AS29" s="16">
        <f t="shared" si="36"/>
        <v>0</v>
      </c>
      <c r="AT29" s="16">
        <f t="shared" si="37"/>
        <v>0</v>
      </c>
      <c r="AU29" s="16">
        <f t="shared" si="38"/>
        <v>0</v>
      </c>
      <c r="AV29" s="16">
        <f t="shared" si="39"/>
        <v>0</v>
      </c>
      <c r="AW29" s="16">
        <f t="shared" si="40"/>
        <v>0</v>
      </c>
      <c r="AX29" s="16">
        <f t="shared" si="41"/>
        <v>0</v>
      </c>
      <c r="AY29" s="16">
        <f t="shared" si="42"/>
        <v>0</v>
      </c>
      <c r="AZ29" s="16">
        <f t="shared" si="43"/>
        <v>0</v>
      </c>
      <c r="BA29" s="16">
        <f t="shared" si="44"/>
        <v>0</v>
      </c>
      <c r="BB29" s="16">
        <f t="shared" si="45"/>
        <v>0</v>
      </c>
      <c r="BC29" s="16">
        <f t="shared" si="46"/>
        <v>0</v>
      </c>
      <c r="BD29" s="16">
        <f t="shared" si="47"/>
        <v>0</v>
      </c>
      <c r="BE29" s="16">
        <f t="shared" si="48"/>
        <v>0</v>
      </c>
      <c r="BF29" s="16">
        <f t="shared" si="49"/>
        <v>0</v>
      </c>
      <c r="BG29" s="16">
        <f t="shared" si="50"/>
        <v>0</v>
      </c>
      <c r="BH29" s="16">
        <f t="shared" si="51"/>
        <v>0</v>
      </c>
      <c r="BI29" s="16">
        <f t="shared" si="52"/>
        <v>0</v>
      </c>
      <c r="BJ29" s="16">
        <f t="shared" si="53"/>
        <v>0</v>
      </c>
      <c r="BK29" s="16">
        <f t="shared" si="54"/>
        <v>0</v>
      </c>
      <c r="BL29" s="16">
        <f t="shared" si="55"/>
        <v>0</v>
      </c>
      <c r="BM29" s="16">
        <f t="shared" si="56"/>
        <v>0</v>
      </c>
      <c r="BN29" s="16">
        <f t="shared" si="57"/>
        <v>0</v>
      </c>
      <c r="BO29" s="16">
        <f t="shared" si="58"/>
        <v>0</v>
      </c>
      <c r="BP29" s="16">
        <f t="shared" si="59"/>
        <v>0</v>
      </c>
      <c r="BQ29" s="16">
        <f t="shared" si="60"/>
        <v>0</v>
      </c>
      <c r="BR29" s="16">
        <f t="shared" si="61"/>
        <v>0</v>
      </c>
      <c r="BS29" s="16">
        <f t="shared" si="62"/>
        <v>0</v>
      </c>
      <c r="BT29" s="16">
        <f t="shared" si="63"/>
        <v>0</v>
      </c>
    </row>
    <row r="30" spans="2:72" x14ac:dyDescent="0.2">
      <c r="B30" s="16">
        <f>N('Registru mijloace fixe'!$I30)</f>
        <v>0</v>
      </c>
      <c r="C30" s="27">
        <f>N('Registru mijloace fixe'!$J30)</f>
        <v>0</v>
      </c>
      <c r="D30" s="16" t="str">
        <f>'Registru mijloace fixe'!$K30&amp;""</f>
        <v/>
      </c>
      <c r="E30" s="16">
        <f t="shared" si="0"/>
        <v>1.5</v>
      </c>
      <c r="F30" s="16">
        <f t="shared" si="1"/>
        <v>0.5</v>
      </c>
      <c r="G30" s="16">
        <f t="shared" si="2"/>
        <v>0</v>
      </c>
      <c r="H30" s="16">
        <f t="shared" si="3"/>
        <v>0</v>
      </c>
      <c r="I30" s="16">
        <f t="shared" si="4"/>
        <v>0</v>
      </c>
      <c r="J30" s="16">
        <f t="shared" si="5"/>
        <v>0</v>
      </c>
      <c r="K30" s="16">
        <f t="shared" si="6"/>
        <v>0</v>
      </c>
      <c r="L30" s="16">
        <f t="shared" si="7"/>
        <v>0</v>
      </c>
      <c r="M30" s="16">
        <f t="shared" si="8"/>
        <v>0</v>
      </c>
      <c r="N30" s="16">
        <f t="shared" si="9"/>
        <v>0</v>
      </c>
      <c r="O30" s="16">
        <f t="shared" si="10"/>
        <v>0</v>
      </c>
      <c r="P30" s="16">
        <f t="shared" si="11"/>
        <v>0</v>
      </c>
      <c r="Q30" s="16">
        <f t="shared" si="12"/>
        <v>0</v>
      </c>
      <c r="R30" s="16">
        <f t="shared" si="13"/>
        <v>0</v>
      </c>
      <c r="S30" s="16">
        <f t="shared" si="14"/>
        <v>0</v>
      </c>
      <c r="T30" s="16">
        <f t="shared" si="15"/>
        <v>0</v>
      </c>
      <c r="U30" s="16">
        <f t="shared" si="16"/>
        <v>0</v>
      </c>
      <c r="V30" s="16">
        <f t="shared" si="17"/>
        <v>0</v>
      </c>
      <c r="W30" s="16">
        <f t="shared" si="18"/>
        <v>0</v>
      </c>
      <c r="X30" s="16">
        <f t="shared" si="19"/>
        <v>0</v>
      </c>
      <c r="Y30" s="16">
        <f t="shared" si="20"/>
        <v>0</v>
      </c>
      <c r="Z30" s="16">
        <f t="shared" si="21"/>
        <v>0</v>
      </c>
      <c r="AA30" s="16">
        <f t="shared" si="22"/>
        <v>0</v>
      </c>
      <c r="AB30" s="16">
        <f t="shared" si="23"/>
        <v>0</v>
      </c>
      <c r="AC30" s="16">
        <f t="shared" si="24"/>
        <v>0</v>
      </c>
      <c r="AD30" s="16">
        <f t="shared" si="25"/>
        <v>0</v>
      </c>
      <c r="AE30" s="16">
        <f t="shared" si="26"/>
        <v>0</v>
      </c>
      <c r="AF30" s="16">
        <f t="shared" si="27"/>
        <v>0</v>
      </c>
      <c r="AG30" s="16">
        <f t="shared" si="28"/>
        <v>0</v>
      </c>
      <c r="AH30" s="16">
        <f t="shared" si="29"/>
        <v>0</v>
      </c>
      <c r="AI30" s="16">
        <f t="shared" si="30"/>
        <v>0</v>
      </c>
      <c r="AJ30" s="16">
        <f t="shared" si="31"/>
        <v>0</v>
      </c>
      <c r="AK30" s="16"/>
      <c r="AL30" s="16"/>
      <c r="AM30" s="16">
        <f>IF(NOT(ISNUMBER('Registru mijloace fixe'!$R30)),0,MAX(0,MIN(((YEAR(LunaRef)-YEAR('Registru mijloace fixe'!$R30))*12+MONTH(LunaRef)-MONTH('Registru mijloace fixe'!$R30)+1)-1,IF(ISNUMBER('Registru mijloace fixe'!$N30),((YEAR('Registru mijloace fixe'!$N30)-YEAR('Registru mijloace fixe'!$R30))*12+MONTH('Registru mijloace fixe'!$N30)-MONTH('Registru mijloace fixe'!$R30)+1),9999),C30*12)))</f>
        <v>0</v>
      </c>
      <c r="AN30" s="27">
        <f>IF(NOT(ISNUMBER('Registru mijloace fixe'!$R30)),0,MAX(0,MIN(((YEAR(LunaRef)-YEAR('Registru mijloace fixe'!$R30))*12+MONTH(LunaRef)-MONTH('Registru mijloace fixe'!$R30)+1),IF(ISNUMBER('Registru mijloace fixe'!$N30),((YEAR('Registru mijloace fixe'!$N30)-YEAR('Registru mijloace fixe'!$R30))*12+MONTH('Registru mijloace fixe'!$N30)-MONTH('Registru mijloace fixe'!$R30)+1),9999),C30*12)))</f>
        <v>0</v>
      </c>
      <c r="AO30" s="16">
        <f t="shared" si="32"/>
        <v>0</v>
      </c>
      <c r="AP30" s="16">
        <f t="shared" si="33"/>
        <v>0</v>
      </c>
      <c r="AQ30" s="16">
        <f t="shared" si="34"/>
        <v>0</v>
      </c>
      <c r="AR30" s="16">
        <f t="shared" si="35"/>
        <v>0</v>
      </c>
      <c r="AS30" s="16">
        <f t="shared" si="36"/>
        <v>0</v>
      </c>
      <c r="AT30" s="16">
        <f t="shared" si="37"/>
        <v>0</v>
      </c>
      <c r="AU30" s="16">
        <f t="shared" si="38"/>
        <v>0</v>
      </c>
      <c r="AV30" s="16">
        <f t="shared" si="39"/>
        <v>0</v>
      </c>
      <c r="AW30" s="16">
        <f t="shared" si="40"/>
        <v>0</v>
      </c>
      <c r="AX30" s="16">
        <f t="shared" si="41"/>
        <v>0</v>
      </c>
      <c r="AY30" s="16">
        <f t="shared" si="42"/>
        <v>0</v>
      </c>
      <c r="AZ30" s="16">
        <f t="shared" si="43"/>
        <v>0</v>
      </c>
      <c r="BA30" s="16">
        <f t="shared" si="44"/>
        <v>0</v>
      </c>
      <c r="BB30" s="16">
        <f t="shared" si="45"/>
        <v>0</v>
      </c>
      <c r="BC30" s="16">
        <f t="shared" si="46"/>
        <v>0</v>
      </c>
      <c r="BD30" s="16">
        <f t="shared" si="47"/>
        <v>0</v>
      </c>
      <c r="BE30" s="16">
        <f t="shared" si="48"/>
        <v>0</v>
      </c>
      <c r="BF30" s="16">
        <f t="shared" si="49"/>
        <v>0</v>
      </c>
      <c r="BG30" s="16">
        <f t="shared" si="50"/>
        <v>0</v>
      </c>
      <c r="BH30" s="16">
        <f t="shared" si="51"/>
        <v>0</v>
      </c>
      <c r="BI30" s="16">
        <f t="shared" si="52"/>
        <v>0</v>
      </c>
      <c r="BJ30" s="16">
        <f t="shared" si="53"/>
        <v>0</v>
      </c>
      <c r="BK30" s="16">
        <f t="shared" si="54"/>
        <v>0</v>
      </c>
      <c r="BL30" s="16">
        <f t="shared" si="55"/>
        <v>0</v>
      </c>
      <c r="BM30" s="16">
        <f t="shared" si="56"/>
        <v>0</v>
      </c>
      <c r="BN30" s="16">
        <f t="shared" si="57"/>
        <v>0</v>
      </c>
      <c r="BO30" s="16">
        <f t="shared" si="58"/>
        <v>0</v>
      </c>
      <c r="BP30" s="16">
        <f t="shared" si="59"/>
        <v>0</v>
      </c>
      <c r="BQ30" s="16">
        <f t="shared" si="60"/>
        <v>0</v>
      </c>
      <c r="BR30" s="16">
        <f t="shared" si="61"/>
        <v>0</v>
      </c>
      <c r="BS30" s="16">
        <f t="shared" si="62"/>
        <v>0</v>
      </c>
      <c r="BT30" s="16">
        <f t="shared" si="63"/>
        <v>0</v>
      </c>
    </row>
    <row r="31" spans="2:72" x14ac:dyDescent="0.2">
      <c r="B31" s="16">
        <f>N('Registru mijloace fixe'!$I31)</f>
        <v>0</v>
      </c>
      <c r="C31" s="27">
        <f>N('Registru mijloace fixe'!$J31)</f>
        <v>0</v>
      </c>
      <c r="D31" s="16" t="str">
        <f>'Registru mijloace fixe'!$K31&amp;""</f>
        <v/>
      </c>
      <c r="E31" s="16">
        <f t="shared" si="0"/>
        <v>1.5</v>
      </c>
      <c r="F31" s="16">
        <f t="shared" si="1"/>
        <v>0.5</v>
      </c>
      <c r="G31" s="16">
        <f t="shared" si="2"/>
        <v>0</v>
      </c>
      <c r="H31" s="16">
        <f t="shared" si="3"/>
        <v>0</v>
      </c>
      <c r="I31" s="16">
        <f t="shared" si="4"/>
        <v>0</v>
      </c>
      <c r="J31" s="16">
        <f t="shared" si="5"/>
        <v>0</v>
      </c>
      <c r="K31" s="16">
        <f t="shared" si="6"/>
        <v>0</v>
      </c>
      <c r="L31" s="16">
        <f t="shared" si="7"/>
        <v>0</v>
      </c>
      <c r="M31" s="16">
        <f t="shared" si="8"/>
        <v>0</v>
      </c>
      <c r="N31" s="16">
        <f t="shared" si="9"/>
        <v>0</v>
      </c>
      <c r="O31" s="16">
        <f t="shared" si="10"/>
        <v>0</v>
      </c>
      <c r="P31" s="16">
        <f t="shared" si="11"/>
        <v>0</v>
      </c>
      <c r="Q31" s="16">
        <f t="shared" si="12"/>
        <v>0</v>
      </c>
      <c r="R31" s="16">
        <f t="shared" si="13"/>
        <v>0</v>
      </c>
      <c r="S31" s="16">
        <f t="shared" si="14"/>
        <v>0</v>
      </c>
      <c r="T31" s="16">
        <f t="shared" si="15"/>
        <v>0</v>
      </c>
      <c r="U31" s="16">
        <f t="shared" si="16"/>
        <v>0</v>
      </c>
      <c r="V31" s="16">
        <f t="shared" si="17"/>
        <v>0</v>
      </c>
      <c r="W31" s="16">
        <f t="shared" si="18"/>
        <v>0</v>
      </c>
      <c r="X31" s="16">
        <f t="shared" si="19"/>
        <v>0</v>
      </c>
      <c r="Y31" s="16">
        <f t="shared" si="20"/>
        <v>0</v>
      </c>
      <c r="Z31" s="16">
        <f t="shared" si="21"/>
        <v>0</v>
      </c>
      <c r="AA31" s="16">
        <f t="shared" si="22"/>
        <v>0</v>
      </c>
      <c r="AB31" s="16">
        <f t="shared" si="23"/>
        <v>0</v>
      </c>
      <c r="AC31" s="16">
        <f t="shared" si="24"/>
        <v>0</v>
      </c>
      <c r="AD31" s="16">
        <f t="shared" si="25"/>
        <v>0</v>
      </c>
      <c r="AE31" s="16">
        <f t="shared" si="26"/>
        <v>0</v>
      </c>
      <c r="AF31" s="16">
        <f t="shared" si="27"/>
        <v>0</v>
      </c>
      <c r="AG31" s="16">
        <f t="shared" si="28"/>
        <v>0</v>
      </c>
      <c r="AH31" s="16">
        <f t="shared" si="29"/>
        <v>0</v>
      </c>
      <c r="AI31" s="16">
        <f t="shared" si="30"/>
        <v>0</v>
      </c>
      <c r="AJ31" s="16">
        <f t="shared" si="31"/>
        <v>0</v>
      </c>
      <c r="AK31" s="16"/>
      <c r="AL31" s="16"/>
      <c r="AM31" s="16">
        <f>IF(NOT(ISNUMBER('Registru mijloace fixe'!$R31)),0,MAX(0,MIN(((YEAR(LunaRef)-YEAR('Registru mijloace fixe'!$R31))*12+MONTH(LunaRef)-MONTH('Registru mijloace fixe'!$R31)+1)-1,IF(ISNUMBER('Registru mijloace fixe'!$N31),((YEAR('Registru mijloace fixe'!$N31)-YEAR('Registru mijloace fixe'!$R31))*12+MONTH('Registru mijloace fixe'!$N31)-MONTH('Registru mijloace fixe'!$R31)+1),9999),C31*12)))</f>
        <v>0</v>
      </c>
      <c r="AN31" s="27">
        <f>IF(NOT(ISNUMBER('Registru mijloace fixe'!$R31)),0,MAX(0,MIN(((YEAR(LunaRef)-YEAR('Registru mijloace fixe'!$R31))*12+MONTH(LunaRef)-MONTH('Registru mijloace fixe'!$R31)+1),IF(ISNUMBER('Registru mijloace fixe'!$N31),((YEAR('Registru mijloace fixe'!$N31)-YEAR('Registru mijloace fixe'!$R31))*12+MONTH('Registru mijloace fixe'!$N31)-MONTH('Registru mijloace fixe'!$R31)+1),9999),C31*12)))</f>
        <v>0</v>
      </c>
      <c r="AO31" s="16">
        <f t="shared" si="32"/>
        <v>0</v>
      </c>
      <c r="AP31" s="16">
        <f t="shared" si="33"/>
        <v>0</v>
      </c>
      <c r="AQ31" s="16">
        <f t="shared" si="34"/>
        <v>0</v>
      </c>
      <c r="AR31" s="16">
        <f t="shared" si="35"/>
        <v>0</v>
      </c>
      <c r="AS31" s="16">
        <f t="shared" si="36"/>
        <v>0</v>
      </c>
      <c r="AT31" s="16">
        <f t="shared" si="37"/>
        <v>0</v>
      </c>
      <c r="AU31" s="16">
        <f t="shared" si="38"/>
        <v>0</v>
      </c>
      <c r="AV31" s="16">
        <f t="shared" si="39"/>
        <v>0</v>
      </c>
      <c r="AW31" s="16">
        <f t="shared" si="40"/>
        <v>0</v>
      </c>
      <c r="AX31" s="16">
        <f t="shared" si="41"/>
        <v>0</v>
      </c>
      <c r="AY31" s="16">
        <f t="shared" si="42"/>
        <v>0</v>
      </c>
      <c r="AZ31" s="16">
        <f t="shared" si="43"/>
        <v>0</v>
      </c>
      <c r="BA31" s="16">
        <f t="shared" si="44"/>
        <v>0</v>
      </c>
      <c r="BB31" s="16">
        <f t="shared" si="45"/>
        <v>0</v>
      </c>
      <c r="BC31" s="16">
        <f t="shared" si="46"/>
        <v>0</v>
      </c>
      <c r="BD31" s="16">
        <f t="shared" si="47"/>
        <v>0</v>
      </c>
      <c r="BE31" s="16">
        <f t="shared" si="48"/>
        <v>0</v>
      </c>
      <c r="BF31" s="16">
        <f t="shared" si="49"/>
        <v>0</v>
      </c>
      <c r="BG31" s="16">
        <f t="shared" si="50"/>
        <v>0</v>
      </c>
      <c r="BH31" s="16">
        <f t="shared" si="51"/>
        <v>0</v>
      </c>
      <c r="BI31" s="16">
        <f t="shared" si="52"/>
        <v>0</v>
      </c>
      <c r="BJ31" s="16">
        <f t="shared" si="53"/>
        <v>0</v>
      </c>
      <c r="BK31" s="16">
        <f t="shared" si="54"/>
        <v>0</v>
      </c>
      <c r="BL31" s="16">
        <f t="shared" si="55"/>
        <v>0</v>
      </c>
      <c r="BM31" s="16">
        <f t="shared" si="56"/>
        <v>0</v>
      </c>
      <c r="BN31" s="16">
        <f t="shared" si="57"/>
        <v>0</v>
      </c>
      <c r="BO31" s="16">
        <f t="shared" si="58"/>
        <v>0</v>
      </c>
      <c r="BP31" s="16">
        <f t="shared" si="59"/>
        <v>0</v>
      </c>
      <c r="BQ31" s="16">
        <f t="shared" si="60"/>
        <v>0</v>
      </c>
      <c r="BR31" s="16">
        <f t="shared" si="61"/>
        <v>0</v>
      </c>
      <c r="BS31" s="16">
        <f t="shared" si="62"/>
        <v>0</v>
      </c>
      <c r="BT31" s="16">
        <f t="shared" si="63"/>
        <v>0</v>
      </c>
    </row>
    <row r="32" spans="2:72" x14ac:dyDescent="0.2">
      <c r="B32" s="16">
        <f>N('Registru mijloace fixe'!$I32)</f>
        <v>0</v>
      </c>
      <c r="C32" s="27">
        <f>N('Registru mijloace fixe'!$J32)</f>
        <v>0</v>
      </c>
      <c r="D32" s="16" t="str">
        <f>'Registru mijloace fixe'!$K32&amp;""</f>
        <v/>
      </c>
      <c r="E32" s="16">
        <f t="shared" si="0"/>
        <v>1.5</v>
      </c>
      <c r="F32" s="16">
        <f t="shared" si="1"/>
        <v>0.5</v>
      </c>
      <c r="G32" s="16">
        <f t="shared" si="2"/>
        <v>0</v>
      </c>
      <c r="H32" s="16">
        <f t="shared" si="3"/>
        <v>0</v>
      </c>
      <c r="I32" s="16">
        <f t="shared" si="4"/>
        <v>0</v>
      </c>
      <c r="J32" s="16">
        <f t="shared" si="5"/>
        <v>0</v>
      </c>
      <c r="K32" s="16">
        <f t="shared" si="6"/>
        <v>0</v>
      </c>
      <c r="L32" s="16">
        <f t="shared" si="7"/>
        <v>0</v>
      </c>
      <c r="M32" s="16">
        <f t="shared" si="8"/>
        <v>0</v>
      </c>
      <c r="N32" s="16">
        <f t="shared" si="9"/>
        <v>0</v>
      </c>
      <c r="O32" s="16">
        <f t="shared" si="10"/>
        <v>0</v>
      </c>
      <c r="P32" s="16">
        <f t="shared" si="11"/>
        <v>0</v>
      </c>
      <c r="Q32" s="16">
        <f t="shared" si="12"/>
        <v>0</v>
      </c>
      <c r="R32" s="16">
        <f t="shared" si="13"/>
        <v>0</v>
      </c>
      <c r="S32" s="16">
        <f t="shared" si="14"/>
        <v>0</v>
      </c>
      <c r="T32" s="16">
        <f t="shared" si="15"/>
        <v>0</v>
      </c>
      <c r="U32" s="16">
        <f t="shared" si="16"/>
        <v>0</v>
      </c>
      <c r="V32" s="16">
        <f t="shared" si="17"/>
        <v>0</v>
      </c>
      <c r="W32" s="16">
        <f t="shared" si="18"/>
        <v>0</v>
      </c>
      <c r="X32" s="16">
        <f t="shared" si="19"/>
        <v>0</v>
      </c>
      <c r="Y32" s="16">
        <f t="shared" si="20"/>
        <v>0</v>
      </c>
      <c r="Z32" s="16">
        <f t="shared" si="21"/>
        <v>0</v>
      </c>
      <c r="AA32" s="16">
        <f t="shared" si="22"/>
        <v>0</v>
      </c>
      <c r="AB32" s="16">
        <f t="shared" si="23"/>
        <v>0</v>
      </c>
      <c r="AC32" s="16">
        <f t="shared" si="24"/>
        <v>0</v>
      </c>
      <c r="AD32" s="16">
        <f t="shared" si="25"/>
        <v>0</v>
      </c>
      <c r="AE32" s="16">
        <f t="shared" si="26"/>
        <v>0</v>
      </c>
      <c r="AF32" s="16">
        <f t="shared" si="27"/>
        <v>0</v>
      </c>
      <c r="AG32" s="16">
        <f t="shared" si="28"/>
        <v>0</v>
      </c>
      <c r="AH32" s="16">
        <f t="shared" si="29"/>
        <v>0</v>
      </c>
      <c r="AI32" s="16">
        <f t="shared" si="30"/>
        <v>0</v>
      </c>
      <c r="AJ32" s="16">
        <f t="shared" si="31"/>
        <v>0</v>
      </c>
      <c r="AK32" s="16"/>
      <c r="AL32" s="16"/>
      <c r="AM32" s="16">
        <f>IF(NOT(ISNUMBER('Registru mijloace fixe'!$R32)),0,MAX(0,MIN(((YEAR(LunaRef)-YEAR('Registru mijloace fixe'!$R32))*12+MONTH(LunaRef)-MONTH('Registru mijloace fixe'!$R32)+1)-1,IF(ISNUMBER('Registru mijloace fixe'!$N32),((YEAR('Registru mijloace fixe'!$N32)-YEAR('Registru mijloace fixe'!$R32))*12+MONTH('Registru mijloace fixe'!$N32)-MONTH('Registru mijloace fixe'!$R32)+1),9999),C32*12)))</f>
        <v>0</v>
      </c>
      <c r="AN32" s="27">
        <f>IF(NOT(ISNUMBER('Registru mijloace fixe'!$R32)),0,MAX(0,MIN(((YEAR(LunaRef)-YEAR('Registru mijloace fixe'!$R32))*12+MONTH(LunaRef)-MONTH('Registru mijloace fixe'!$R32)+1),IF(ISNUMBER('Registru mijloace fixe'!$N32),((YEAR('Registru mijloace fixe'!$N32)-YEAR('Registru mijloace fixe'!$R32))*12+MONTH('Registru mijloace fixe'!$N32)-MONTH('Registru mijloace fixe'!$R32)+1),9999),C32*12)))</f>
        <v>0</v>
      </c>
      <c r="AO32" s="16">
        <f t="shared" si="32"/>
        <v>0</v>
      </c>
      <c r="AP32" s="16">
        <f t="shared" si="33"/>
        <v>0</v>
      </c>
      <c r="AQ32" s="16">
        <f t="shared" si="34"/>
        <v>0</v>
      </c>
      <c r="AR32" s="16">
        <f t="shared" si="35"/>
        <v>0</v>
      </c>
      <c r="AS32" s="16">
        <f t="shared" si="36"/>
        <v>0</v>
      </c>
      <c r="AT32" s="16">
        <f t="shared" si="37"/>
        <v>0</v>
      </c>
      <c r="AU32" s="16">
        <f t="shared" si="38"/>
        <v>0</v>
      </c>
      <c r="AV32" s="16">
        <f t="shared" si="39"/>
        <v>0</v>
      </c>
      <c r="AW32" s="16">
        <f t="shared" si="40"/>
        <v>0</v>
      </c>
      <c r="AX32" s="16">
        <f t="shared" si="41"/>
        <v>0</v>
      </c>
      <c r="AY32" s="16">
        <f t="shared" si="42"/>
        <v>0</v>
      </c>
      <c r="AZ32" s="16">
        <f t="shared" si="43"/>
        <v>0</v>
      </c>
      <c r="BA32" s="16">
        <f t="shared" si="44"/>
        <v>0</v>
      </c>
      <c r="BB32" s="16">
        <f t="shared" si="45"/>
        <v>0</v>
      </c>
      <c r="BC32" s="16">
        <f t="shared" si="46"/>
        <v>0</v>
      </c>
      <c r="BD32" s="16">
        <f t="shared" si="47"/>
        <v>0</v>
      </c>
      <c r="BE32" s="16">
        <f t="shared" si="48"/>
        <v>0</v>
      </c>
      <c r="BF32" s="16">
        <f t="shared" si="49"/>
        <v>0</v>
      </c>
      <c r="BG32" s="16">
        <f t="shared" si="50"/>
        <v>0</v>
      </c>
      <c r="BH32" s="16">
        <f t="shared" si="51"/>
        <v>0</v>
      </c>
      <c r="BI32" s="16">
        <f t="shared" si="52"/>
        <v>0</v>
      </c>
      <c r="BJ32" s="16">
        <f t="shared" si="53"/>
        <v>0</v>
      </c>
      <c r="BK32" s="16">
        <f t="shared" si="54"/>
        <v>0</v>
      </c>
      <c r="BL32" s="16">
        <f t="shared" si="55"/>
        <v>0</v>
      </c>
      <c r="BM32" s="16">
        <f t="shared" si="56"/>
        <v>0</v>
      </c>
      <c r="BN32" s="16">
        <f t="shared" si="57"/>
        <v>0</v>
      </c>
      <c r="BO32" s="16">
        <f t="shared" si="58"/>
        <v>0</v>
      </c>
      <c r="BP32" s="16">
        <f t="shared" si="59"/>
        <v>0</v>
      </c>
      <c r="BQ32" s="16">
        <f t="shared" si="60"/>
        <v>0</v>
      </c>
      <c r="BR32" s="16">
        <f t="shared" si="61"/>
        <v>0</v>
      </c>
      <c r="BS32" s="16">
        <f t="shared" si="62"/>
        <v>0</v>
      </c>
      <c r="BT32" s="16">
        <f t="shared" si="63"/>
        <v>0</v>
      </c>
    </row>
    <row r="33" spans="2:72" x14ac:dyDescent="0.2">
      <c r="B33" s="16">
        <f>N('Registru mijloace fixe'!$I33)</f>
        <v>0</v>
      </c>
      <c r="C33" s="27">
        <f>N('Registru mijloace fixe'!$J33)</f>
        <v>0</v>
      </c>
      <c r="D33" s="16" t="str">
        <f>'Registru mijloace fixe'!$K33&amp;""</f>
        <v/>
      </c>
      <c r="E33" s="16">
        <f t="shared" si="0"/>
        <v>1.5</v>
      </c>
      <c r="F33" s="16">
        <f t="shared" si="1"/>
        <v>0.5</v>
      </c>
      <c r="G33" s="16">
        <f t="shared" si="2"/>
        <v>0</v>
      </c>
      <c r="H33" s="16">
        <f t="shared" si="3"/>
        <v>0</v>
      </c>
      <c r="I33" s="16">
        <f t="shared" si="4"/>
        <v>0</v>
      </c>
      <c r="J33" s="16">
        <f t="shared" si="5"/>
        <v>0</v>
      </c>
      <c r="K33" s="16">
        <f t="shared" si="6"/>
        <v>0</v>
      </c>
      <c r="L33" s="16">
        <f t="shared" si="7"/>
        <v>0</v>
      </c>
      <c r="M33" s="16">
        <f t="shared" si="8"/>
        <v>0</v>
      </c>
      <c r="N33" s="16">
        <f t="shared" si="9"/>
        <v>0</v>
      </c>
      <c r="O33" s="16">
        <f t="shared" si="10"/>
        <v>0</v>
      </c>
      <c r="P33" s="16">
        <f t="shared" si="11"/>
        <v>0</v>
      </c>
      <c r="Q33" s="16">
        <f t="shared" si="12"/>
        <v>0</v>
      </c>
      <c r="R33" s="16">
        <f t="shared" si="13"/>
        <v>0</v>
      </c>
      <c r="S33" s="16">
        <f t="shared" si="14"/>
        <v>0</v>
      </c>
      <c r="T33" s="16">
        <f t="shared" si="15"/>
        <v>0</v>
      </c>
      <c r="U33" s="16">
        <f t="shared" si="16"/>
        <v>0</v>
      </c>
      <c r="V33" s="16">
        <f t="shared" si="17"/>
        <v>0</v>
      </c>
      <c r="W33" s="16">
        <f t="shared" si="18"/>
        <v>0</v>
      </c>
      <c r="X33" s="16">
        <f t="shared" si="19"/>
        <v>0</v>
      </c>
      <c r="Y33" s="16">
        <f t="shared" si="20"/>
        <v>0</v>
      </c>
      <c r="Z33" s="16">
        <f t="shared" si="21"/>
        <v>0</v>
      </c>
      <c r="AA33" s="16">
        <f t="shared" si="22"/>
        <v>0</v>
      </c>
      <c r="AB33" s="16">
        <f t="shared" si="23"/>
        <v>0</v>
      </c>
      <c r="AC33" s="16">
        <f t="shared" si="24"/>
        <v>0</v>
      </c>
      <c r="AD33" s="16">
        <f t="shared" si="25"/>
        <v>0</v>
      </c>
      <c r="AE33" s="16">
        <f t="shared" si="26"/>
        <v>0</v>
      </c>
      <c r="AF33" s="16">
        <f t="shared" si="27"/>
        <v>0</v>
      </c>
      <c r="AG33" s="16">
        <f t="shared" si="28"/>
        <v>0</v>
      </c>
      <c r="AH33" s="16">
        <f t="shared" si="29"/>
        <v>0</v>
      </c>
      <c r="AI33" s="16">
        <f t="shared" si="30"/>
        <v>0</v>
      </c>
      <c r="AJ33" s="16">
        <f t="shared" si="31"/>
        <v>0</v>
      </c>
      <c r="AK33" s="16"/>
      <c r="AL33" s="16"/>
      <c r="AM33" s="16">
        <f>IF(NOT(ISNUMBER('Registru mijloace fixe'!$R33)),0,MAX(0,MIN(((YEAR(LunaRef)-YEAR('Registru mijloace fixe'!$R33))*12+MONTH(LunaRef)-MONTH('Registru mijloace fixe'!$R33)+1)-1,IF(ISNUMBER('Registru mijloace fixe'!$N33),((YEAR('Registru mijloace fixe'!$N33)-YEAR('Registru mijloace fixe'!$R33))*12+MONTH('Registru mijloace fixe'!$N33)-MONTH('Registru mijloace fixe'!$R33)+1),9999),C33*12)))</f>
        <v>0</v>
      </c>
      <c r="AN33" s="27">
        <f>IF(NOT(ISNUMBER('Registru mijloace fixe'!$R33)),0,MAX(0,MIN(((YEAR(LunaRef)-YEAR('Registru mijloace fixe'!$R33))*12+MONTH(LunaRef)-MONTH('Registru mijloace fixe'!$R33)+1),IF(ISNUMBER('Registru mijloace fixe'!$N33),((YEAR('Registru mijloace fixe'!$N33)-YEAR('Registru mijloace fixe'!$R33))*12+MONTH('Registru mijloace fixe'!$N33)-MONTH('Registru mijloace fixe'!$R33)+1),9999),C33*12)))</f>
        <v>0</v>
      </c>
      <c r="AO33" s="16">
        <f t="shared" si="32"/>
        <v>0</v>
      </c>
      <c r="AP33" s="16">
        <f t="shared" si="33"/>
        <v>0</v>
      </c>
      <c r="AQ33" s="16">
        <f t="shared" si="34"/>
        <v>0</v>
      </c>
      <c r="AR33" s="16">
        <f t="shared" si="35"/>
        <v>0</v>
      </c>
      <c r="AS33" s="16">
        <f t="shared" si="36"/>
        <v>0</v>
      </c>
      <c r="AT33" s="16">
        <f t="shared" si="37"/>
        <v>0</v>
      </c>
      <c r="AU33" s="16">
        <f t="shared" si="38"/>
        <v>0</v>
      </c>
      <c r="AV33" s="16">
        <f t="shared" si="39"/>
        <v>0</v>
      </c>
      <c r="AW33" s="16">
        <f t="shared" si="40"/>
        <v>0</v>
      </c>
      <c r="AX33" s="16">
        <f t="shared" si="41"/>
        <v>0</v>
      </c>
      <c r="AY33" s="16">
        <f t="shared" si="42"/>
        <v>0</v>
      </c>
      <c r="AZ33" s="16">
        <f t="shared" si="43"/>
        <v>0</v>
      </c>
      <c r="BA33" s="16">
        <f t="shared" si="44"/>
        <v>0</v>
      </c>
      <c r="BB33" s="16">
        <f t="shared" si="45"/>
        <v>0</v>
      </c>
      <c r="BC33" s="16">
        <f t="shared" si="46"/>
        <v>0</v>
      </c>
      <c r="BD33" s="16">
        <f t="shared" si="47"/>
        <v>0</v>
      </c>
      <c r="BE33" s="16">
        <f t="shared" si="48"/>
        <v>0</v>
      </c>
      <c r="BF33" s="16">
        <f t="shared" si="49"/>
        <v>0</v>
      </c>
      <c r="BG33" s="16">
        <f t="shared" si="50"/>
        <v>0</v>
      </c>
      <c r="BH33" s="16">
        <f t="shared" si="51"/>
        <v>0</v>
      </c>
      <c r="BI33" s="16">
        <f t="shared" si="52"/>
        <v>0</v>
      </c>
      <c r="BJ33" s="16">
        <f t="shared" si="53"/>
        <v>0</v>
      </c>
      <c r="BK33" s="16">
        <f t="shared" si="54"/>
        <v>0</v>
      </c>
      <c r="BL33" s="16">
        <f t="shared" si="55"/>
        <v>0</v>
      </c>
      <c r="BM33" s="16">
        <f t="shared" si="56"/>
        <v>0</v>
      </c>
      <c r="BN33" s="16">
        <f t="shared" si="57"/>
        <v>0</v>
      </c>
      <c r="BO33" s="16">
        <f t="shared" si="58"/>
        <v>0</v>
      </c>
      <c r="BP33" s="16">
        <f t="shared" si="59"/>
        <v>0</v>
      </c>
      <c r="BQ33" s="16">
        <f t="shared" si="60"/>
        <v>0</v>
      </c>
      <c r="BR33" s="16">
        <f t="shared" si="61"/>
        <v>0</v>
      </c>
      <c r="BS33" s="16">
        <f t="shared" si="62"/>
        <v>0</v>
      </c>
      <c r="BT33" s="16">
        <f t="shared" si="63"/>
        <v>0</v>
      </c>
    </row>
    <row r="34" spans="2:72" x14ac:dyDescent="0.2">
      <c r="B34" s="16">
        <f>N('Registru mijloace fixe'!$I34)</f>
        <v>0</v>
      </c>
      <c r="C34" s="27">
        <f>N('Registru mijloace fixe'!$J34)</f>
        <v>0</v>
      </c>
      <c r="D34" s="16" t="str">
        <f>'Registru mijloace fixe'!$K34&amp;""</f>
        <v/>
      </c>
      <c r="E34" s="16">
        <f t="shared" si="0"/>
        <v>1.5</v>
      </c>
      <c r="F34" s="16">
        <f t="shared" si="1"/>
        <v>0.5</v>
      </c>
      <c r="G34" s="16">
        <f t="shared" si="2"/>
        <v>0</v>
      </c>
      <c r="H34" s="16">
        <f t="shared" si="3"/>
        <v>0</v>
      </c>
      <c r="I34" s="16">
        <f t="shared" si="4"/>
        <v>0</v>
      </c>
      <c r="J34" s="16">
        <f t="shared" si="5"/>
        <v>0</v>
      </c>
      <c r="K34" s="16">
        <f t="shared" si="6"/>
        <v>0</v>
      </c>
      <c r="L34" s="16">
        <f t="shared" si="7"/>
        <v>0</v>
      </c>
      <c r="M34" s="16">
        <f t="shared" si="8"/>
        <v>0</v>
      </c>
      <c r="N34" s="16">
        <f t="shared" si="9"/>
        <v>0</v>
      </c>
      <c r="O34" s="16">
        <f t="shared" si="10"/>
        <v>0</v>
      </c>
      <c r="P34" s="16">
        <f t="shared" si="11"/>
        <v>0</v>
      </c>
      <c r="Q34" s="16">
        <f t="shared" si="12"/>
        <v>0</v>
      </c>
      <c r="R34" s="16">
        <f t="shared" si="13"/>
        <v>0</v>
      </c>
      <c r="S34" s="16">
        <f t="shared" si="14"/>
        <v>0</v>
      </c>
      <c r="T34" s="16">
        <f t="shared" si="15"/>
        <v>0</v>
      </c>
      <c r="U34" s="16">
        <f t="shared" si="16"/>
        <v>0</v>
      </c>
      <c r="V34" s="16">
        <f t="shared" si="17"/>
        <v>0</v>
      </c>
      <c r="W34" s="16">
        <f t="shared" si="18"/>
        <v>0</v>
      </c>
      <c r="X34" s="16">
        <f t="shared" si="19"/>
        <v>0</v>
      </c>
      <c r="Y34" s="16">
        <f t="shared" si="20"/>
        <v>0</v>
      </c>
      <c r="Z34" s="16">
        <f t="shared" si="21"/>
        <v>0</v>
      </c>
      <c r="AA34" s="16">
        <f t="shared" si="22"/>
        <v>0</v>
      </c>
      <c r="AB34" s="16">
        <f t="shared" si="23"/>
        <v>0</v>
      </c>
      <c r="AC34" s="16">
        <f t="shared" si="24"/>
        <v>0</v>
      </c>
      <c r="AD34" s="16">
        <f t="shared" si="25"/>
        <v>0</v>
      </c>
      <c r="AE34" s="16">
        <f t="shared" si="26"/>
        <v>0</v>
      </c>
      <c r="AF34" s="16">
        <f t="shared" si="27"/>
        <v>0</v>
      </c>
      <c r="AG34" s="16">
        <f t="shared" si="28"/>
        <v>0</v>
      </c>
      <c r="AH34" s="16">
        <f t="shared" si="29"/>
        <v>0</v>
      </c>
      <c r="AI34" s="16">
        <f t="shared" si="30"/>
        <v>0</v>
      </c>
      <c r="AJ34" s="16">
        <f t="shared" si="31"/>
        <v>0</v>
      </c>
      <c r="AK34" s="16"/>
      <c r="AL34" s="16"/>
      <c r="AM34" s="16">
        <f>IF(NOT(ISNUMBER('Registru mijloace fixe'!$R34)),0,MAX(0,MIN(((YEAR(LunaRef)-YEAR('Registru mijloace fixe'!$R34))*12+MONTH(LunaRef)-MONTH('Registru mijloace fixe'!$R34)+1)-1,IF(ISNUMBER('Registru mijloace fixe'!$N34),((YEAR('Registru mijloace fixe'!$N34)-YEAR('Registru mijloace fixe'!$R34))*12+MONTH('Registru mijloace fixe'!$N34)-MONTH('Registru mijloace fixe'!$R34)+1),9999),C34*12)))</f>
        <v>0</v>
      </c>
      <c r="AN34" s="27">
        <f>IF(NOT(ISNUMBER('Registru mijloace fixe'!$R34)),0,MAX(0,MIN(((YEAR(LunaRef)-YEAR('Registru mijloace fixe'!$R34))*12+MONTH(LunaRef)-MONTH('Registru mijloace fixe'!$R34)+1),IF(ISNUMBER('Registru mijloace fixe'!$N34),((YEAR('Registru mijloace fixe'!$N34)-YEAR('Registru mijloace fixe'!$R34))*12+MONTH('Registru mijloace fixe'!$N34)-MONTH('Registru mijloace fixe'!$R34)+1),9999),C34*12)))</f>
        <v>0</v>
      </c>
      <c r="AO34" s="16">
        <f t="shared" si="32"/>
        <v>0</v>
      </c>
      <c r="AP34" s="16">
        <f t="shared" si="33"/>
        <v>0</v>
      </c>
      <c r="AQ34" s="16">
        <f t="shared" si="34"/>
        <v>0</v>
      </c>
      <c r="AR34" s="16">
        <f t="shared" si="35"/>
        <v>0</v>
      </c>
      <c r="AS34" s="16">
        <f t="shared" si="36"/>
        <v>0</v>
      </c>
      <c r="AT34" s="16">
        <f t="shared" si="37"/>
        <v>0</v>
      </c>
      <c r="AU34" s="16">
        <f t="shared" si="38"/>
        <v>0</v>
      </c>
      <c r="AV34" s="16">
        <f t="shared" si="39"/>
        <v>0</v>
      </c>
      <c r="AW34" s="16">
        <f t="shared" si="40"/>
        <v>0</v>
      </c>
      <c r="AX34" s="16">
        <f t="shared" si="41"/>
        <v>0</v>
      </c>
      <c r="AY34" s="16">
        <f t="shared" si="42"/>
        <v>0</v>
      </c>
      <c r="AZ34" s="16">
        <f t="shared" si="43"/>
        <v>0</v>
      </c>
      <c r="BA34" s="16">
        <f t="shared" si="44"/>
        <v>0</v>
      </c>
      <c r="BB34" s="16">
        <f t="shared" si="45"/>
        <v>0</v>
      </c>
      <c r="BC34" s="16">
        <f t="shared" si="46"/>
        <v>0</v>
      </c>
      <c r="BD34" s="16">
        <f t="shared" si="47"/>
        <v>0</v>
      </c>
      <c r="BE34" s="16">
        <f t="shared" si="48"/>
        <v>0</v>
      </c>
      <c r="BF34" s="16">
        <f t="shared" si="49"/>
        <v>0</v>
      </c>
      <c r="BG34" s="16">
        <f t="shared" si="50"/>
        <v>0</v>
      </c>
      <c r="BH34" s="16">
        <f t="shared" si="51"/>
        <v>0</v>
      </c>
      <c r="BI34" s="16">
        <f t="shared" si="52"/>
        <v>0</v>
      </c>
      <c r="BJ34" s="16">
        <f t="shared" si="53"/>
        <v>0</v>
      </c>
      <c r="BK34" s="16">
        <f t="shared" si="54"/>
        <v>0</v>
      </c>
      <c r="BL34" s="16">
        <f t="shared" si="55"/>
        <v>0</v>
      </c>
      <c r="BM34" s="16">
        <f t="shared" si="56"/>
        <v>0</v>
      </c>
      <c r="BN34" s="16">
        <f t="shared" si="57"/>
        <v>0</v>
      </c>
      <c r="BO34" s="16">
        <f t="shared" si="58"/>
        <v>0</v>
      </c>
      <c r="BP34" s="16">
        <f t="shared" si="59"/>
        <v>0</v>
      </c>
      <c r="BQ34" s="16">
        <f t="shared" si="60"/>
        <v>0</v>
      </c>
      <c r="BR34" s="16">
        <f t="shared" si="61"/>
        <v>0</v>
      </c>
      <c r="BS34" s="16">
        <f t="shared" si="62"/>
        <v>0</v>
      </c>
      <c r="BT34" s="16">
        <f t="shared" si="63"/>
        <v>0</v>
      </c>
    </row>
    <row r="35" spans="2:72" x14ac:dyDescent="0.2">
      <c r="B35" s="16">
        <f>N('Registru mijloace fixe'!$I35)</f>
        <v>0</v>
      </c>
      <c r="C35" s="27">
        <f>N('Registru mijloace fixe'!$J35)</f>
        <v>0</v>
      </c>
      <c r="D35" s="16" t="str">
        <f>'Registru mijloace fixe'!$K35&amp;""</f>
        <v/>
      </c>
      <c r="E35" s="16">
        <f t="shared" si="0"/>
        <v>1.5</v>
      </c>
      <c r="F35" s="16">
        <f t="shared" si="1"/>
        <v>0.5</v>
      </c>
      <c r="G35" s="16">
        <f t="shared" si="2"/>
        <v>0</v>
      </c>
      <c r="H35" s="16">
        <f t="shared" si="3"/>
        <v>0</v>
      </c>
      <c r="I35" s="16">
        <f t="shared" si="4"/>
        <v>0</v>
      </c>
      <c r="J35" s="16">
        <f t="shared" si="5"/>
        <v>0</v>
      </c>
      <c r="K35" s="16">
        <f t="shared" si="6"/>
        <v>0</v>
      </c>
      <c r="L35" s="16">
        <f t="shared" si="7"/>
        <v>0</v>
      </c>
      <c r="M35" s="16">
        <f t="shared" si="8"/>
        <v>0</v>
      </c>
      <c r="N35" s="16">
        <f t="shared" si="9"/>
        <v>0</v>
      </c>
      <c r="O35" s="16">
        <f t="shared" si="10"/>
        <v>0</v>
      </c>
      <c r="P35" s="16">
        <f t="shared" si="11"/>
        <v>0</v>
      </c>
      <c r="Q35" s="16">
        <f t="shared" si="12"/>
        <v>0</v>
      </c>
      <c r="R35" s="16">
        <f t="shared" si="13"/>
        <v>0</v>
      </c>
      <c r="S35" s="16">
        <f t="shared" si="14"/>
        <v>0</v>
      </c>
      <c r="T35" s="16">
        <f t="shared" si="15"/>
        <v>0</v>
      </c>
      <c r="U35" s="16">
        <f t="shared" si="16"/>
        <v>0</v>
      </c>
      <c r="V35" s="16">
        <f t="shared" si="17"/>
        <v>0</v>
      </c>
      <c r="W35" s="16">
        <f t="shared" si="18"/>
        <v>0</v>
      </c>
      <c r="X35" s="16">
        <f t="shared" si="19"/>
        <v>0</v>
      </c>
      <c r="Y35" s="16">
        <f t="shared" si="20"/>
        <v>0</v>
      </c>
      <c r="Z35" s="16">
        <f t="shared" si="21"/>
        <v>0</v>
      </c>
      <c r="AA35" s="16">
        <f t="shared" si="22"/>
        <v>0</v>
      </c>
      <c r="AB35" s="16">
        <f t="shared" si="23"/>
        <v>0</v>
      </c>
      <c r="AC35" s="16">
        <f t="shared" si="24"/>
        <v>0</v>
      </c>
      <c r="AD35" s="16">
        <f t="shared" si="25"/>
        <v>0</v>
      </c>
      <c r="AE35" s="16">
        <f t="shared" si="26"/>
        <v>0</v>
      </c>
      <c r="AF35" s="16">
        <f t="shared" si="27"/>
        <v>0</v>
      </c>
      <c r="AG35" s="16">
        <f t="shared" si="28"/>
        <v>0</v>
      </c>
      <c r="AH35" s="16">
        <f t="shared" si="29"/>
        <v>0</v>
      </c>
      <c r="AI35" s="16">
        <f t="shared" si="30"/>
        <v>0</v>
      </c>
      <c r="AJ35" s="16">
        <f t="shared" si="31"/>
        <v>0</v>
      </c>
      <c r="AK35" s="16"/>
      <c r="AL35" s="16"/>
      <c r="AM35" s="16">
        <f>IF(NOT(ISNUMBER('Registru mijloace fixe'!$R35)),0,MAX(0,MIN(((YEAR(LunaRef)-YEAR('Registru mijloace fixe'!$R35))*12+MONTH(LunaRef)-MONTH('Registru mijloace fixe'!$R35)+1)-1,IF(ISNUMBER('Registru mijloace fixe'!$N35),((YEAR('Registru mijloace fixe'!$N35)-YEAR('Registru mijloace fixe'!$R35))*12+MONTH('Registru mijloace fixe'!$N35)-MONTH('Registru mijloace fixe'!$R35)+1),9999),C35*12)))</f>
        <v>0</v>
      </c>
      <c r="AN35" s="27">
        <f>IF(NOT(ISNUMBER('Registru mijloace fixe'!$R35)),0,MAX(0,MIN(((YEAR(LunaRef)-YEAR('Registru mijloace fixe'!$R35))*12+MONTH(LunaRef)-MONTH('Registru mijloace fixe'!$R35)+1),IF(ISNUMBER('Registru mijloace fixe'!$N35),((YEAR('Registru mijloace fixe'!$N35)-YEAR('Registru mijloace fixe'!$R35))*12+MONTH('Registru mijloace fixe'!$N35)-MONTH('Registru mijloace fixe'!$R35)+1),9999),C35*12)))</f>
        <v>0</v>
      </c>
      <c r="AO35" s="16">
        <f t="shared" si="32"/>
        <v>0</v>
      </c>
      <c r="AP35" s="16">
        <f t="shared" si="33"/>
        <v>0</v>
      </c>
      <c r="AQ35" s="16">
        <f t="shared" si="34"/>
        <v>0</v>
      </c>
      <c r="AR35" s="16">
        <f t="shared" si="35"/>
        <v>0</v>
      </c>
      <c r="AS35" s="16">
        <f t="shared" si="36"/>
        <v>0</v>
      </c>
      <c r="AT35" s="16">
        <f t="shared" si="37"/>
        <v>0</v>
      </c>
      <c r="AU35" s="16">
        <f t="shared" si="38"/>
        <v>0</v>
      </c>
      <c r="AV35" s="16">
        <f t="shared" si="39"/>
        <v>0</v>
      </c>
      <c r="AW35" s="16">
        <f t="shared" si="40"/>
        <v>0</v>
      </c>
      <c r="AX35" s="16">
        <f t="shared" si="41"/>
        <v>0</v>
      </c>
      <c r="AY35" s="16">
        <f t="shared" si="42"/>
        <v>0</v>
      </c>
      <c r="AZ35" s="16">
        <f t="shared" si="43"/>
        <v>0</v>
      </c>
      <c r="BA35" s="16">
        <f t="shared" si="44"/>
        <v>0</v>
      </c>
      <c r="BB35" s="16">
        <f t="shared" si="45"/>
        <v>0</v>
      </c>
      <c r="BC35" s="16">
        <f t="shared" si="46"/>
        <v>0</v>
      </c>
      <c r="BD35" s="16">
        <f t="shared" si="47"/>
        <v>0</v>
      </c>
      <c r="BE35" s="16">
        <f t="shared" si="48"/>
        <v>0</v>
      </c>
      <c r="BF35" s="16">
        <f t="shared" si="49"/>
        <v>0</v>
      </c>
      <c r="BG35" s="16">
        <f t="shared" si="50"/>
        <v>0</v>
      </c>
      <c r="BH35" s="16">
        <f t="shared" si="51"/>
        <v>0</v>
      </c>
      <c r="BI35" s="16">
        <f t="shared" si="52"/>
        <v>0</v>
      </c>
      <c r="BJ35" s="16">
        <f t="shared" si="53"/>
        <v>0</v>
      </c>
      <c r="BK35" s="16">
        <f t="shared" si="54"/>
        <v>0</v>
      </c>
      <c r="BL35" s="16">
        <f t="shared" si="55"/>
        <v>0</v>
      </c>
      <c r="BM35" s="16">
        <f t="shared" si="56"/>
        <v>0</v>
      </c>
      <c r="BN35" s="16">
        <f t="shared" si="57"/>
        <v>0</v>
      </c>
      <c r="BO35" s="16">
        <f t="shared" si="58"/>
        <v>0</v>
      </c>
      <c r="BP35" s="16">
        <f t="shared" si="59"/>
        <v>0</v>
      </c>
      <c r="BQ35" s="16">
        <f t="shared" si="60"/>
        <v>0</v>
      </c>
      <c r="BR35" s="16">
        <f t="shared" si="61"/>
        <v>0</v>
      </c>
      <c r="BS35" s="16">
        <f t="shared" si="62"/>
        <v>0</v>
      </c>
      <c r="BT35" s="16">
        <f t="shared" si="63"/>
        <v>0</v>
      </c>
    </row>
    <row r="36" spans="2:72" x14ac:dyDescent="0.2">
      <c r="B36" s="16">
        <f>N('Registru mijloace fixe'!$I36)</f>
        <v>0</v>
      </c>
      <c r="C36" s="27">
        <f>N('Registru mijloace fixe'!$J36)</f>
        <v>0</v>
      </c>
      <c r="D36" s="16" t="str">
        <f>'Registru mijloace fixe'!$K36&amp;""</f>
        <v/>
      </c>
      <c r="E36" s="16">
        <f t="shared" si="0"/>
        <v>1.5</v>
      </c>
      <c r="F36" s="16">
        <f t="shared" si="1"/>
        <v>0.5</v>
      </c>
      <c r="G36" s="16">
        <f t="shared" si="2"/>
        <v>0</v>
      </c>
      <c r="H36" s="16">
        <f t="shared" si="3"/>
        <v>0</v>
      </c>
      <c r="I36" s="16">
        <f t="shared" si="4"/>
        <v>0</v>
      </c>
      <c r="J36" s="16">
        <f t="shared" si="5"/>
        <v>0</v>
      </c>
      <c r="K36" s="16">
        <f t="shared" si="6"/>
        <v>0</v>
      </c>
      <c r="L36" s="16">
        <f t="shared" si="7"/>
        <v>0</v>
      </c>
      <c r="M36" s="16">
        <f t="shared" si="8"/>
        <v>0</v>
      </c>
      <c r="N36" s="16">
        <f t="shared" si="9"/>
        <v>0</v>
      </c>
      <c r="O36" s="16">
        <f t="shared" si="10"/>
        <v>0</v>
      </c>
      <c r="P36" s="16">
        <f t="shared" si="11"/>
        <v>0</v>
      </c>
      <c r="Q36" s="16">
        <f t="shared" si="12"/>
        <v>0</v>
      </c>
      <c r="R36" s="16">
        <f t="shared" si="13"/>
        <v>0</v>
      </c>
      <c r="S36" s="16">
        <f t="shared" si="14"/>
        <v>0</v>
      </c>
      <c r="T36" s="16">
        <f t="shared" si="15"/>
        <v>0</v>
      </c>
      <c r="U36" s="16">
        <f t="shared" si="16"/>
        <v>0</v>
      </c>
      <c r="V36" s="16">
        <f t="shared" si="17"/>
        <v>0</v>
      </c>
      <c r="W36" s="16">
        <f t="shared" si="18"/>
        <v>0</v>
      </c>
      <c r="X36" s="16">
        <f t="shared" si="19"/>
        <v>0</v>
      </c>
      <c r="Y36" s="16">
        <f t="shared" si="20"/>
        <v>0</v>
      </c>
      <c r="Z36" s="16">
        <f t="shared" si="21"/>
        <v>0</v>
      </c>
      <c r="AA36" s="16">
        <f t="shared" si="22"/>
        <v>0</v>
      </c>
      <c r="AB36" s="16">
        <f t="shared" si="23"/>
        <v>0</v>
      </c>
      <c r="AC36" s="16">
        <f t="shared" si="24"/>
        <v>0</v>
      </c>
      <c r="AD36" s="16">
        <f t="shared" si="25"/>
        <v>0</v>
      </c>
      <c r="AE36" s="16">
        <f t="shared" si="26"/>
        <v>0</v>
      </c>
      <c r="AF36" s="16">
        <f t="shared" si="27"/>
        <v>0</v>
      </c>
      <c r="AG36" s="16">
        <f t="shared" si="28"/>
        <v>0</v>
      </c>
      <c r="AH36" s="16">
        <f t="shared" si="29"/>
        <v>0</v>
      </c>
      <c r="AI36" s="16">
        <f t="shared" si="30"/>
        <v>0</v>
      </c>
      <c r="AJ36" s="16">
        <f t="shared" si="31"/>
        <v>0</v>
      </c>
      <c r="AK36" s="16"/>
      <c r="AL36" s="16"/>
      <c r="AM36" s="16">
        <f>IF(NOT(ISNUMBER('Registru mijloace fixe'!$R36)),0,MAX(0,MIN(((YEAR(LunaRef)-YEAR('Registru mijloace fixe'!$R36))*12+MONTH(LunaRef)-MONTH('Registru mijloace fixe'!$R36)+1)-1,IF(ISNUMBER('Registru mijloace fixe'!$N36),((YEAR('Registru mijloace fixe'!$N36)-YEAR('Registru mijloace fixe'!$R36))*12+MONTH('Registru mijloace fixe'!$N36)-MONTH('Registru mijloace fixe'!$R36)+1),9999),C36*12)))</f>
        <v>0</v>
      </c>
      <c r="AN36" s="27">
        <f>IF(NOT(ISNUMBER('Registru mijloace fixe'!$R36)),0,MAX(0,MIN(((YEAR(LunaRef)-YEAR('Registru mijloace fixe'!$R36))*12+MONTH(LunaRef)-MONTH('Registru mijloace fixe'!$R36)+1),IF(ISNUMBER('Registru mijloace fixe'!$N36),((YEAR('Registru mijloace fixe'!$N36)-YEAR('Registru mijloace fixe'!$R36))*12+MONTH('Registru mijloace fixe'!$N36)-MONTH('Registru mijloace fixe'!$R36)+1),9999),C36*12)))</f>
        <v>0</v>
      </c>
      <c r="AO36" s="16">
        <f t="shared" si="32"/>
        <v>0</v>
      </c>
      <c r="AP36" s="16">
        <f t="shared" si="33"/>
        <v>0</v>
      </c>
      <c r="AQ36" s="16">
        <f t="shared" si="34"/>
        <v>0</v>
      </c>
      <c r="AR36" s="16">
        <f t="shared" si="35"/>
        <v>0</v>
      </c>
      <c r="AS36" s="16">
        <f t="shared" si="36"/>
        <v>0</v>
      </c>
      <c r="AT36" s="16">
        <f t="shared" si="37"/>
        <v>0</v>
      </c>
      <c r="AU36" s="16">
        <f t="shared" si="38"/>
        <v>0</v>
      </c>
      <c r="AV36" s="16">
        <f t="shared" si="39"/>
        <v>0</v>
      </c>
      <c r="AW36" s="16">
        <f t="shared" si="40"/>
        <v>0</v>
      </c>
      <c r="AX36" s="16">
        <f t="shared" si="41"/>
        <v>0</v>
      </c>
      <c r="AY36" s="16">
        <f t="shared" si="42"/>
        <v>0</v>
      </c>
      <c r="AZ36" s="16">
        <f t="shared" si="43"/>
        <v>0</v>
      </c>
      <c r="BA36" s="16">
        <f t="shared" si="44"/>
        <v>0</v>
      </c>
      <c r="BB36" s="16">
        <f t="shared" si="45"/>
        <v>0</v>
      </c>
      <c r="BC36" s="16">
        <f t="shared" si="46"/>
        <v>0</v>
      </c>
      <c r="BD36" s="16">
        <f t="shared" si="47"/>
        <v>0</v>
      </c>
      <c r="BE36" s="16">
        <f t="shared" si="48"/>
        <v>0</v>
      </c>
      <c r="BF36" s="16">
        <f t="shared" si="49"/>
        <v>0</v>
      </c>
      <c r="BG36" s="16">
        <f t="shared" si="50"/>
        <v>0</v>
      </c>
      <c r="BH36" s="16">
        <f t="shared" si="51"/>
        <v>0</v>
      </c>
      <c r="BI36" s="16">
        <f t="shared" si="52"/>
        <v>0</v>
      </c>
      <c r="BJ36" s="16">
        <f t="shared" si="53"/>
        <v>0</v>
      </c>
      <c r="BK36" s="16">
        <f t="shared" si="54"/>
        <v>0</v>
      </c>
      <c r="BL36" s="16">
        <f t="shared" si="55"/>
        <v>0</v>
      </c>
      <c r="BM36" s="16">
        <f t="shared" si="56"/>
        <v>0</v>
      </c>
      <c r="BN36" s="16">
        <f t="shared" si="57"/>
        <v>0</v>
      </c>
      <c r="BO36" s="16">
        <f t="shared" si="58"/>
        <v>0</v>
      </c>
      <c r="BP36" s="16">
        <f t="shared" si="59"/>
        <v>0</v>
      </c>
      <c r="BQ36" s="16">
        <f t="shared" si="60"/>
        <v>0</v>
      </c>
      <c r="BR36" s="16">
        <f t="shared" si="61"/>
        <v>0</v>
      </c>
      <c r="BS36" s="16">
        <f t="shared" si="62"/>
        <v>0</v>
      </c>
      <c r="BT36" s="16">
        <f t="shared" si="63"/>
        <v>0</v>
      </c>
    </row>
    <row r="37" spans="2:72" x14ac:dyDescent="0.2">
      <c r="B37" s="16">
        <f>N('Registru mijloace fixe'!$I37)</f>
        <v>0</v>
      </c>
      <c r="C37" s="27">
        <f>N('Registru mijloace fixe'!$J37)</f>
        <v>0</v>
      </c>
      <c r="D37" s="16" t="str">
        <f>'Registru mijloace fixe'!$K37&amp;""</f>
        <v/>
      </c>
      <c r="E37" s="16">
        <f t="shared" ref="E37:E68" si="64">IF(C37&lt;=5,1.5,IF(C37&lt;=10,2,2.5))</f>
        <v>1.5</v>
      </c>
      <c r="F37" s="16">
        <f t="shared" ref="F37:F68" si="65">IF(D37="Superaccelerată (2026)",0.65,0.5)</f>
        <v>0.5</v>
      </c>
      <c r="G37" s="16">
        <f t="shared" ref="G37:G68" si="66">IF(OR($B37&lt;=0,$C37&lt;1),0,IF($B37&lt;0.005,0,IF(($C37-1+1)&lt;=1,$B37,IF($D37="Degresivă",MIN($B37,MAX($B37*$E37/$C37,$B37/($C37-1+1))),IF(OR($D37="Accelerată",$D37="Superaccelerată (2026)"),IF(1=1,$B37*$F37,$B37/($C37-1+1)),MIN($B37/$C37,$B37))))))</f>
        <v>0</v>
      </c>
      <c r="H37" s="16">
        <f t="shared" ref="H37:H68" si="67">IF(OR($B37&lt;=0,$C37&lt;2),0,IF(($B37-AQ37)&lt;0.005,0,IF(($C37-2+1)&lt;=1,($B37-AQ37),IF($D37="Degresivă",MIN(($B37-AQ37),MAX(($B37-AQ37)*$E37/$C37,($B37-AQ37)/($C37-2+1))),IF(OR($D37="Accelerată",$D37="Superaccelerată (2026)"),IF(2=1,$B37*$F37,($B37-AQ37)/($C37-2+1)),MIN($B37/$C37,($B37-AQ37)))))))</f>
        <v>0</v>
      </c>
      <c r="I37" s="16">
        <f t="shared" ref="I37:I68" si="68">IF(OR($B37&lt;=0,$C37&lt;3),0,IF(($B37-AR37)&lt;0.005,0,IF(($C37-3+1)&lt;=1,($B37-AR37),IF($D37="Degresivă",MIN(($B37-AR37),MAX(($B37-AR37)*$E37/$C37,($B37-AR37)/($C37-3+1))),IF(OR($D37="Accelerată",$D37="Superaccelerată (2026)"),IF(3=1,$B37*$F37,($B37-AR37)/($C37-3+1)),MIN($B37/$C37,($B37-AR37)))))))</f>
        <v>0</v>
      </c>
      <c r="J37" s="16">
        <f t="shared" ref="J37:J68" si="69">IF(OR($B37&lt;=0,$C37&lt;4),0,IF(($B37-AS37)&lt;0.005,0,IF(($C37-4+1)&lt;=1,($B37-AS37),IF($D37="Degresivă",MIN(($B37-AS37),MAX(($B37-AS37)*$E37/$C37,($B37-AS37)/($C37-4+1))),IF(OR($D37="Accelerată",$D37="Superaccelerată (2026)"),IF(4=1,$B37*$F37,($B37-AS37)/($C37-4+1)),MIN($B37/$C37,($B37-AS37)))))))</f>
        <v>0</v>
      </c>
      <c r="K37" s="16">
        <f t="shared" ref="K37:K68" si="70">IF(OR($B37&lt;=0,$C37&lt;5),0,IF(($B37-AT37)&lt;0.005,0,IF(($C37-5+1)&lt;=1,($B37-AT37),IF($D37="Degresivă",MIN(($B37-AT37),MAX(($B37-AT37)*$E37/$C37,($B37-AT37)/($C37-5+1))),IF(OR($D37="Accelerată",$D37="Superaccelerată (2026)"),IF(5=1,$B37*$F37,($B37-AT37)/($C37-5+1)),MIN($B37/$C37,($B37-AT37)))))))</f>
        <v>0</v>
      </c>
      <c r="L37" s="16">
        <f t="shared" ref="L37:L68" si="71">IF(OR($B37&lt;=0,$C37&lt;6),0,IF(($B37-AU37)&lt;0.005,0,IF(($C37-6+1)&lt;=1,($B37-AU37),IF($D37="Degresivă",MIN(($B37-AU37),MAX(($B37-AU37)*$E37/$C37,($B37-AU37)/($C37-6+1))),IF(OR($D37="Accelerată",$D37="Superaccelerată (2026)"),IF(6=1,$B37*$F37,($B37-AU37)/($C37-6+1)),MIN($B37/$C37,($B37-AU37)))))))</f>
        <v>0</v>
      </c>
      <c r="M37" s="16">
        <f t="shared" ref="M37:M68" si="72">IF(OR($B37&lt;=0,$C37&lt;7),0,IF(($B37-AV37)&lt;0.005,0,IF(($C37-7+1)&lt;=1,($B37-AV37),IF($D37="Degresivă",MIN(($B37-AV37),MAX(($B37-AV37)*$E37/$C37,($B37-AV37)/($C37-7+1))),IF(OR($D37="Accelerată",$D37="Superaccelerată (2026)"),IF(7=1,$B37*$F37,($B37-AV37)/($C37-7+1)),MIN($B37/$C37,($B37-AV37)))))))</f>
        <v>0</v>
      </c>
      <c r="N37" s="16">
        <f t="shared" ref="N37:N68" si="73">IF(OR($B37&lt;=0,$C37&lt;8),0,IF(($B37-AW37)&lt;0.005,0,IF(($C37-8+1)&lt;=1,($B37-AW37),IF($D37="Degresivă",MIN(($B37-AW37),MAX(($B37-AW37)*$E37/$C37,($B37-AW37)/($C37-8+1))),IF(OR($D37="Accelerată",$D37="Superaccelerată (2026)"),IF(8=1,$B37*$F37,($B37-AW37)/($C37-8+1)),MIN($B37/$C37,($B37-AW37)))))))</f>
        <v>0</v>
      </c>
      <c r="O37" s="16">
        <f t="shared" ref="O37:O68" si="74">IF(OR($B37&lt;=0,$C37&lt;9),0,IF(($B37-AX37)&lt;0.005,0,IF(($C37-9+1)&lt;=1,($B37-AX37),IF($D37="Degresivă",MIN(($B37-AX37),MAX(($B37-AX37)*$E37/$C37,($B37-AX37)/($C37-9+1))),IF(OR($D37="Accelerată",$D37="Superaccelerată (2026)"),IF(9=1,$B37*$F37,($B37-AX37)/($C37-9+1)),MIN($B37/$C37,($B37-AX37)))))))</f>
        <v>0</v>
      </c>
      <c r="P37" s="16">
        <f t="shared" ref="P37:P68" si="75">IF(OR($B37&lt;=0,$C37&lt;10),0,IF(($B37-AY37)&lt;0.005,0,IF(($C37-10+1)&lt;=1,($B37-AY37),IF($D37="Degresivă",MIN(($B37-AY37),MAX(($B37-AY37)*$E37/$C37,($B37-AY37)/($C37-10+1))),IF(OR($D37="Accelerată",$D37="Superaccelerată (2026)"),IF(10=1,$B37*$F37,($B37-AY37)/($C37-10+1)),MIN($B37/$C37,($B37-AY37)))))))</f>
        <v>0</v>
      </c>
      <c r="Q37" s="16">
        <f t="shared" ref="Q37:Q68" si="76">IF(OR($B37&lt;=0,$C37&lt;11),0,IF(($B37-AZ37)&lt;0.005,0,IF(($C37-11+1)&lt;=1,($B37-AZ37),IF($D37="Degresivă",MIN(($B37-AZ37),MAX(($B37-AZ37)*$E37/$C37,($B37-AZ37)/($C37-11+1))),IF(OR($D37="Accelerată",$D37="Superaccelerată (2026)"),IF(11=1,$B37*$F37,($B37-AZ37)/($C37-11+1)),MIN($B37/$C37,($B37-AZ37)))))))</f>
        <v>0</v>
      </c>
      <c r="R37" s="16">
        <f t="shared" ref="R37:R68" si="77">IF(OR($B37&lt;=0,$C37&lt;12),0,IF(($B37-BA37)&lt;0.005,0,IF(($C37-12+1)&lt;=1,($B37-BA37),IF($D37="Degresivă",MIN(($B37-BA37),MAX(($B37-BA37)*$E37/$C37,($B37-BA37)/($C37-12+1))),IF(OR($D37="Accelerată",$D37="Superaccelerată (2026)"),IF(12=1,$B37*$F37,($B37-BA37)/($C37-12+1)),MIN($B37/$C37,($B37-BA37)))))))</f>
        <v>0</v>
      </c>
      <c r="S37" s="16">
        <f t="shared" ref="S37:S68" si="78">IF(OR($B37&lt;=0,$C37&lt;13),0,IF(($B37-BB37)&lt;0.005,0,IF(($C37-13+1)&lt;=1,($B37-BB37),IF($D37="Degresivă",MIN(($B37-BB37),MAX(($B37-BB37)*$E37/$C37,($B37-BB37)/($C37-13+1))),IF(OR($D37="Accelerată",$D37="Superaccelerată (2026)"),IF(13=1,$B37*$F37,($B37-BB37)/($C37-13+1)),MIN($B37/$C37,($B37-BB37)))))))</f>
        <v>0</v>
      </c>
      <c r="T37" s="16">
        <f t="shared" ref="T37:T68" si="79">IF(OR($B37&lt;=0,$C37&lt;14),0,IF(($B37-BC37)&lt;0.005,0,IF(($C37-14+1)&lt;=1,($B37-BC37),IF($D37="Degresivă",MIN(($B37-BC37),MAX(($B37-BC37)*$E37/$C37,($B37-BC37)/($C37-14+1))),IF(OR($D37="Accelerată",$D37="Superaccelerată (2026)"),IF(14=1,$B37*$F37,($B37-BC37)/($C37-14+1)),MIN($B37/$C37,($B37-BC37)))))))</f>
        <v>0</v>
      </c>
      <c r="U37" s="16">
        <f t="shared" ref="U37:U68" si="80">IF(OR($B37&lt;=0,$C37&lt;15),0,IF(($B37-BD37)&lt;0.005,0,IF(($C37-15+1)&lt;=1,($B37-BD37),IF($D37="Degresivă",MIN(($B37-BD37),MAX(($B37-BD37)*$E37/$C37,($B37-BD37)/($C37-15+1))),IF(OR($D37="Accelerată",$D37="Superaccelerată (2026)"),IF(15=1,$B37*$F37,($B37-BD37)/($C37-15+1)),MIN($B37/$C37,($B37-BD37)))))))</f>
        <v>0</v>
      </c>
      <c r="V37" s="16">
        <f t="shared" ref="V37:V68" si="81">IF(OR($B37&lt;=0,$C37&lt;16),0,IF(($B37-BE37)&lt;0.005,0,IF(($C37-16+1)&lt;=1,($B37-BE37),IF($D37="Degresivă",MIN(($B37-BE37),MAX(($B37-BE37)*$E37/$C37,($B37-BE37)/($C37-16+1))),IF(OR($D37="Accelerată",$D37="Superaccelerată (2026)"),IF(16=1,$B37*$F37,($B37-BE37)/($C37-16+1)),MIN($B37/$C37,($B37-BE37)))))))</f>
        <v>0</v>
      </c>
      <c r="W37" s="16">
        <f t="shared" ref="W37:W68" si="82">IF(OR($B37&lt;=0,$C37&lt;17),0,IF(($B37-BF37)&lt;0.005,0,IF(($C37-17+1)&lt;=1,($B37-BF37),IF($D37="Degresivă",MIN(($B37-BF37),MAX(($B37-BF37)*$E37/$C37,($B37-BF37)/($C37-17+1))),IF(OR($D37="Accelerată",$D37="Superaccelerată (2026)"),IF(17=1,$B37*$F37,($B37-BF37)/($C37-17+1)),MIN($B37/$C37,($B37-BF37)))))))</f>
        <v>0</v>
      </c>
      <c r="X37" s="16">
        <f t="shared" ref="X37:X68" si="83">IF(OR($B37&lt;=0,$C37&lt;18),0,IF(($B37-BG37)&lt;0.005,0,IF(($C37-18+1)&lt;=1,($B37-BG37),IF($D37="Degresivă",MIN(($B37-BG37),MAX(($B37-BG37)*$E37/$C37,($B37-BG37)/($C37-18+1))),IF(OR($D37="Accelerată",$D37="Superaccelerată (2026)"),IF(18=1,$B37*$F37,($B37-BG37)/($C37-18+1)),MIN($B37/$C37,($B37-BG37)))))))</f>
        <v>0</v>
      </c>
      <c r="Y37" s="16">
        <f t="shared" ref="Y37:Y68" si="84">IF(OR($B37&lt;=0,$C37&lt;19),0,IF(($B37-BH37)&lt;0.005,0,IF(($C37-19+1)&lt;=1,($B37-BH37),IF($D37="Degresivă",MIN(($B37-BH37),MAX(($B37-BH37)*$E37/$C37,($B37-BH37)/($C37-19+1))),IF(OR($D37="Accelerată",$D37="Superaccelerată (2026)"),IF(19=1,$B37*$F37,($B37-BH37)/($C37-19+1)),MIN($B37/$C37,($B37-BH37)))))))</f>
        <v>0</v>
      </c>
      <c r="Z37" s="16">
        <f t="shared" ref="Z37:Z68" si="85">IF(OR($B37&lt;=0,$C37&lt;20),0,IF(($B37-BI37)&lt;0.005,0,IF(($C37-20+1)&lt;=1,($B37-BI37),IF($D37="Degresivă",MIN(($B37-BI37),MAX(($B37-BI37)*$E37/$C37,($B37-BI37)/($C37-20+1))),IF(OR($D37="Accelerată",$D37="Superaccelerată (2026)"),IF(20=1,$B37*$F37,($B37-BI37)/($C37-20+1)),MIN($B37/$C37,($B37-BI37)))))))</f>
        <v>0</v>
      </c>
      <c r="AA37" s="16">
        <f t="shared" ref="AA37:AA68" si="86">IF(OR($B37&lt;=0,$C37&lt;21),0,IF(($B37-BJ37)&lt;0.005,0,IF(($C37-21+1)&lt;=1,($B37-BJ37),IF($D37="Degresivă",MIN(($B37-BJ37),MAX(($B37-BJ37)*$E37/$C37,($B37-BJ37)/($C37-21+1))),IF(OR($D37="Accelerată",$D37="Superaccelerată (2026)"),IF(21=1,$B37*$F37,($B37-BJ37)/($C37-21+1)),MIN($B37/$C37,($B37-BJ37)))))))</f>
        <v>0</v>
      </c>
      <c r="AB37" s="16">
        <f t="shared" ref="AB37:AB68" si="87">IF(OR($B37&lt;=0,$C37&lt;22),0,IF(($B37-BK37)&lt;0.005,0,IF(($C37-22+1)&lt;=1,($B37-BK37),IF($D37="Degresivă",MIN(($B37-BK37),MAX(($B37-BK37)*$E37/$C37,($B37-BK37)/($C37-22+1))),IF(OR($D37="Accelerată",$D37="Superaccelerată (2026)"),IF(22=1,$B37*$F37,($B37-BK37)/($C37-22+1)),MIN($B37/$C37,($B37-BK37)))))))</f>
        <v>0</v>
      </c>
      <c r="AC37" s="16">
        <f t="shared" ref="AC37:AC68" si="88">IF(OR($B37&lt;=0,$C37&lt;23),0,IF(($B37-BL37)&lt;0.005,0,IF(($C37-23+1)&lt;=1,($B37-BL37),IF($D37="Degresivă",MIN(($B37-BL37),MAX(($B37-BL37)*$E37/$C37,($B37-BL37)/($C37-23+1))),IF(OR($D37="Accelerată",$D37="Superaccelerată (2026)"),IF(23=1,$B37*$F37,($B37-BL37)/($C37-23+1)),MIN($B37/$C37,($B37-BL37)))))))</f>
        <v>0</v>
      </c>
      <c r="AD37" s="16">
        <f t="shared" ref="AD37:AD68" si="89">IF(OR($B37&lt;=0,$C37&lt;24),0,IF(($B37-BM37)&lt;0.005,0,IF(($C37-24+1)&lt;=1,($B37-BM37),IF($D37="Degresivă",MIN(($B37-BM37),MAX(($B37-BM37)*$E37/$C37,($B37-BM37)/($C37-24+1))),IF(OR($D37="Accelerată",$D37="Superaccelerată (2026)"),IF(24=1,$B37*$F37,($B37-BM37)/($C37-24+1)),MIN($B37/$C37,($B37-BM37)))))))</f>
        <v>0</v>
      </c>
      <c r="AE37" s="16">
        <f t="shared" ref="AE37:AE68" si="90">IF(OR($B37&lt;=0,$C37&lt;25),0,IF(($B37-BN37)&lt;0.005,0,IF(($C37-25+1)&lt;=1,($B37-BN37),IF($D37="Degresivă",MIN(($B37-BN37),MAX(($B37-BN37)*$E37/$C37,($B37-BN37)/($C37-25+1))),IF(OR($D37="Accelerată",$D37="Superaccelerată (2026)"),IF(25=1,$B37*$F37,($B37-BN37)/($C37-25+1)),MIN($B37/$C37,($B37-BN37)))))))</f>
        <v>0</v>
      </c>
      <c r="AF37" s="16">
        <f t="shared" ref="AF37:AF68" si="91">IF(OR($B37&lt;=0,$C37&lt;26),0,IF(($B37-BO37)&lt;0.005,0,IF(($C37-26+1)&lt;=1,($B37-BO37),IF($D37="Degresivă",MIN(($B37-BO37),MAX(($B37-BO37)*$E37/$C37,($B37-BO37)/($C37-26+1))),IF(OR($D37="Accelerată",$D37="Superaccelerată (2026)"),IF(26=1,$B37*$F37,($B37-BO37)/($C37-26+1)),MIN($B37/$C37,($B37-BO37)))))))</f>
        <v>0</v>
      </c>
      <c r="AG37" s="16">
        <f t="shared" ref="AG37:AG68" si="92">IF(OR($B37&lt;=0,$C37&lt;27),0,IF(($B37-BP37)&lt;0.005,0,IF(($C37-27+1)&lt;=1,($B37-BP37),IF($D37="Degresivă",MIN(($B37-BP37),MAX(($B37-BP37)*$E37/$C37,($B37-BP37)/($C37-27+1))),IF(OR($D37="Accelerată",$D37="Superaccelerată (2026)"),IF(27=1,$B37*$F37,($B37-BP37)/($C37-27+1)),MIN($B37/$C37,($B37-BP37)))))))</f>
        <v>0</v>
      </c>
      <c r="AH37" s="16">
        <f t="shared" ref="AH37:AH68" si="93">IF(OR($B37&lt;=0,$C37&lt;28),0,IF(($B37-BQ37)&lt;0.005,0,IF(($C37-28+1)&lt;=1,($B37-BQ37),IF($D37="Degresivă",MIN(($B37-BQ37),MAX(($B37-BQ37)*$E37/$C37,($B37-BQ37)/($C37-28+1))),IF(OR($D37="Accelerată",$D37="Superaccelerată (2026)"),IF(28=1,$B37*$F37,($B37-BQ37)/($C37-28+1)),MIN($B37/$C37,($B37-BQ37)))))))</f>
        <v>0</v>
      </c>
      <c r="AI37" s="16">
        <f t="shared" ref="AI37:AI68" si="94">IF(OR($B37&lt;=0,$C37&lt;29),0,IF(($B37-BR37)&lt;0.005,0,IF(($C37-29+1)&lt;=1,($B37-BR37),IF($D37="Degresivă",MIN(($B37-BR37),MAX(($B37-BR37)*$E37/$C37,($B37-BR37)/($C37-29+1))),IF(OR($D37="Accelerată",$D37="Superaccelerată (2026)"),IF(29=1,$B37*$F37,($B37-BR37)/($C37-29+1)),MIN($B37/$C37,($B37-BR37)))))))</f>
        <v>0</v>
      </c>
      <c r="AJ37" s="16">
        <f t="shared" ref="AJ37:AJ68" si="95">IF(OR($B37&lt;=0,$C37&lt;30),0,IF(($B37-BS37)&lt;0.005,0,IF(($C37-30+1)&lt;=1,($B37-BS37),IF($D37="Degresivă",MIN(($B37-BS37),MAX(($B37-BS37)*$E37/$C37,($B37-BS37)/($C37-30+1))),IF(OR($D37="Accelerată",$D37="Superaccelerată (2026)"),IF(30=1,$B37*$F37,($B37-BS37)/($C37-30+1)),MIN($B37/$C37,($B37-BS37)))))))</f>
        <v>0</v>
      </c>
      <c r="AK37" s="16"/>
      <c r="AL37" s="16"/>
      <c r="AM37" s="16">
        <f>IF(NOT(ISNUMBER('Registru mijloace fixe'!$R37)),0,MAX(0,MIN(((YEAR(LunaRef)-YEAR('Registru mijloace fixe'!$R37))*12+MONTH(LunaRef)-MONTH('Registru mijloace fixe'!$R37)+1)-1,IF(ISNUMBER('Registru mijloace fixe'!$N37),((YEAR('Registru mijloace fixe'!$N37)-YEAR('Registru mijloace fixe'!$R37))*12+MONTH('Registru mijloace fixe'!$N37)-MONTH('Registru mijloace fixe'!$R37)+1),9999),C37*12)))</f>
        <v>0</v>
      </c>
      <c r="AN37" s="27">
        <f>IF(NOT(ISNUMBER('Registru mijloace fixe'!$R37)),0,MAX(0,MIN(((YEAR(LunaRef)-YEAR('Registru mijloace fixe'!$R37))*12+MONTH(LunaRef)-MONTH('Registru mijloace fixe'!$R37)+1),IF(ISNUMBER('Registru mijloace fixe'!$N37),((YEAR('Registru mijloace fixe'!$N37)-YEAR('Registru mijloace fixe'!$R37))*12+MONTH('Registru mijloace fixe'!$N37)-MONTH('Registru mijloace fixe'!$R37)+1),9999),C37*12)))</f>
        <v>0</v>
      </c>
      <c r="AO37" s="16">
        <f t="shared" ref="AO37:AO68" si="96">IF((AN37)&lt;=0,0,IF($D37="Liniară",MIN($B37,$B37*(AN37)/($C37*12)),MIN($B37,IF(INT((AN37)/12)=0,0,INDEX($AQ37:$BT37,MIN(INT((AN37)/12),30)))+IF(INT((AN37)/12)&gt;=30,0,MOD((AN37),12)/12*INDEX($G37:$AJ37,INT((AN37)/12)+1)))))</f>
        <v>0</v>
      </c>
      <c r="AP37" s="16">
        <f t="shared" ref="AP37:AP68" si="97">IF((AM37)&lt;=0,0,IF($D37="Liniară",MIN($B37,$B37*(AM37)/($C37*12)),MIN($B37,IF(INT((AM37)/12)=0,0,INDEX($AQ37:$BT37,MIN(INT((AM37)/12),30)))+IF(INT((AM37)/12)&gt;=30,0,MOD((AM37),12)/12*INDEX($G37:$AJ37,INT((AM37)/12)+1)))))</f>
        <v>0</v>
      </c>
      <c r="AQ37" s="16">
        <f t="shared" ref="AQ37:AQ68" si="98">G37</f>
        <v>0</v>
      </c>
      <c r="AR37" s="16">
        <f t="shared" ref="AR37:AR68" si="99">AQ37+H37</f>
        <v>0</v>
      </c>
      <c r="AS37" s="16">
        <f t="shared" ref="AS37:AS68" si="100">AR37+I37</f>
        <v>0</v>
      </c>
      <c r="AT37" s="16">
        <f t="shared" ref="AT37:AT68" si="101">AS37+J37</f>
        <v>0</v>
      </c>
      <c r="AU37" s="16">
        <f t="shared" ref="AU37:AU68" si="102">AT37+K37</f>
        <v>0</v>
      </c>
      <c r="AV37" s="16">
        <f t="shared" ref="AV37:AV68" si="103">AU37+L37</f>
        <v>0</v>
      </c>
      <c r="AW37" s="16">
        <f t="shared" ref="AW37:AW68" si="104">AV37+M37</f>
        <v>0</v>
      </c>
      <c r="AX37" s="16">
        <f t="shared" ref="AX37:AX68" si="105">AW37+N37</f>
        <v>0</v>
      </c>
      <c r="AY37" s="16">
        <f t="shared" ref="AY37:AY68" si="106">AX37+O37</f>
        <v>0</v>
      </c>
      <c r="AZ37" s="16">
        <f t="shared" ref="AZ37:AZ68" si="107">AY37+P37</f>
        <v>0</v>
      </c>
      <c r="BA37" s="16">
        <f t="shared" ref="BA37:BA68" si="108">AZ37+Q37</f>
        <v>0</v>
      </c>
      <c r="BB37" s="16">
        <f t="shared" ref="BB37:BB68" si="109">BA37+R37</f>
        <v>0</v>
      </c>
      <c r="BC37" s="16">
        <f t="shared" ref="BC37:BC68" si="110">BB37+S37</f>
        <v>0</v>
      </c>
      <c r="BD37" s="16">
        <f t="shared" ref="BD37:BD68" si="111">BC37+T37</f>
        <v>0</v>
      </c>
      <c r="BE37" s="16">
        <f t="shared" ref="BE37:BE68" si="112">BD37+U37</f>
        <v>0</v>
      </c>
      <c r="BF37" s="16">
        <f t="shared" ref="BF37:BF68" si="113">BE37+V37</f>
        <v>0</v>
      </c>
      <c r="BG37" s="16">
        <f t="shared" ref="BG37:BG68" si="114">BF37+W37</f>
        <v>0</v>
      </c>
      <c r="BH37" s="16">
        <f t="shared" ref="BH37:BH68" si="115">BG37+X37</f>
        <v>0</v>
      </c>
      <c r="BI37" s="16">
        <f t="shared" ref="BI37:BI68" si="116">BH37+Y37</f>
        <v>0</v>
      </c>
      <c r="BJ37" s="16">
        <f t="shared" ref="BJ37:BJ68" si="117">BI37+Z37</f>
        <v>0</v>
      </c>
      <c r="BK37" s="16">
        <f t="shared" ref="BK37:BK68" si="118">BJ37+AA37</f>
        <v>0</v>
      </c>
      <c r="BL37" s="16">
        <f t="shared" ref="BL37:BL68" si="119">BK37+AB37</f>
        <v>0</v>
      </c>
      <c r="BM37" s="16">
        <f t="shared" ref="BM37:BM68" si="120">BL37+AC37</f>
        <v>0</v>
      </c>
      <c r="BN37" s="16">
        <f t="shared" ref="BN37:BN68" si="121">BM37+AD37</f>
        <v>0</v>
      </c>
      <c r="BO37" s="16">
        <f t="shared" ref="BO37:BO68" si="122">BN37+AE37</f>
        <v>0</v>
      </c>
      <c r="BP37" s="16">
        <f t="shared" ref="BP37:BP68" si="123">BO37+AF37</f>
        <v>0</v>
      </c>
      <c r="BQ37" s="16">
        <f t="shared" ref="BQ37:BQ68" si="124">BP37+AG37</f>
        <v>0</v>
      </c>
      <c r="BR37" s="16">
        <f t="shared" ref="BR37:BR68" si="125">BQ37+AH37</f>
        <v>0</v>
      </c>
      <c r="BS37" s="16">
        <f t="shared" ref="BS37:BS68" si="126">BR37+AI37</f>
        <v>0</v>
      </c>
      <c r="BT37" s="16">
        <f t="shared" ref="BT37:BT68" si="127">BS37+AJ37</f>
        <v>0</v>
      </c>
    </row>
    <row r="38" spans="2:72" x14ac:dyDescent="0.2">
      <c r="B38" s="16">
        <f>N('Registru mijloace fixe'!$I38)</f>
        <v>0</v>
      </c>
      <c r="C38" s="27">
        <f>N('Registru mijloace fixe'!$J38)</f>
        <v>0</v>
      </c>
      <c r="D38" s="16" t="str">
        <f>'Registru mijloace fixe'!$K38&amp;""</f>
        <v/>
      </c>
      <c r="E38" s="16">
        <f t="shared" si="64"/>
        <v>1.5</v>
      </c>
      <c r="F38" s="16">
        <f t="shared" si="65"/>
        <v>0.5</v>
      </c>
      <c r="G38" s="16">
        <f t="shared" si="66"/>
        <v>0</v>
      </c>
      <c r="H38" s="16">
        <f t="shared" si="67"/>
        <v>0</v>
      </c>
      <c r="I38" s="16">
        <f t="shared" si="68"/>
        <v>0</v>
      </c>
      <c r="J38" s="16">
        <f t="shared" si="69"/>
        <v>0</v>
      </c>
      <c r="K38" s="16">
        <f t="shared" si="70"/>
        <v>0</v>
      </c>
      <c r="L38" s="16">
        <f t="shared" si="71"/>
        <v>0</v>
      </c>
      <c r="M38" s="16">
        <f t="shared" si="72"/>
        <v>0</v>
      </c>
      <c r="N38" s="16">
        <f t="shared" si="73"/>
        <v>0</v>
      </c>
      <c r="O38" s="16">
        <f t="shared" si="74"/>
        <v>0</v>
      </c>
      <c r="P38" s="16">
        <f t="shared" si="75"/>
        <v>0</v>
      </c>
      <c r="Q38" s="16">
        <f t="shared" si="76"/>
        <v>0</v>
      </c>
      <c r="R38" s="16">
        <f t="shared" si="77"/>
        <v>0</v>
      </c>
      <c r="S38" s="16">
        <f t="shared" si="78"/>
        <v>0</v>
      </c>
      <c r="T38" s="16">
        <f t="shared" si="79"/>
        <v>0</v>
      </c>
      <c r="U38" s="16">
        <f t="shared" si="80"/>
        <v>0</v>
      </c>
      <c r="V38" s="16">
        <f t="shared" si="81"/>
        <v>0</v>
      </c>
      <c r="W38" s="16">
        <f t="shared" si="82"/>
        <v>0</v>
      </c>
      <c r="X38" s="16">
        <f t="shared" si="83"/>
        <v>0</v>
      </c>
      <c r="Y38" s="16">
        <f t="shared" si="84"/>
        <v>0</v>
      </c>
      <c r="Z38" s="16">
        <f t="shared" si="85"/>
        <v>0</v>
      </c>
      <c r="AA38" s="16">
        <f t="shared" si="86"/>
        <v>0</v>
      </c>
      <c r="AB38" s="16">
        <f t="shared" si="87"/>
        <v>0</v>
      </c>
      <c r="AC38" s="16">
        <f t="shared" si="88"/>
        <v>0</v>
      </c>
      <c r="AD38" s="16">
        <f t="shared" si="89"/>
        <v>0</v>
      </c>
      <c r="AE38" s="16">
        <f t="shared" si="90"/>
        <v>0</v>
      </c>
      <c r="AF38" s="16">
        <f t="shared" si="91"/>
        <v>0</v>
      </c>
      <c r="AG38" s="16">
        <f t="shared" si="92"/>
        <v>0</v>
      </c>
      <c r="AH38" s="16">
        <f t="shared" si="93"/>
        <v>0</v>
      </c>
      <c r="AI38" s="16">
        <f t="shared" si="94"/>
        <v>0</v>
      </c>
      <c r="AJ38" s="16">
        <f t="shared" si="95"/>
        <v>0</v>
      </c>
      <c r="AK38" s="16"/>
      <c r="AL38" s="16"/>
      <c r="AM38" s="16">
        <f>IF(NOT(ISNUMBER('Registru mijloace fixe'!$R38)),0,MAX(0,MIN(((YEAR(LunaRef)-YEAR('Registru mijloace fixe'!$R38))*12+MONTH(LunaRef)-MONTH('Registru mijloace fixe'!$R38)+1)-1,IF(ISNUMBER('Registru mijloace fixe'!$N38),((YEAR('Registru mijloace fixe'!$N38)-YEAR('Registru mijloace fixe'!$R38))*12+MONTH('Registru mijloace fixe'!$N38)-MONTH('Registru mijloace fixe'!$R38)+1),9999),C38*12)))</f>
        <v>0</v>
      </c>
      <c r="AN38" s="27">
        <f>IF(NOT(ISNUMBER('Registru mijloace fixe'!$R38)),0,MAX(0,MIN(((YEAR(LunaRef)-YEAR('Registru mijloace fixe'!$R38))*12+MONTH(LunaRef)-MONTH('Registru mijloace fixe'!$R38)+1),IF(ISNUMBER('Registru mijloace fixe'!$N38),((YEAR('Registru mijloace fixe'!$N38)-YEAR('Registru mijloace fixe'!$R38))*12+MONTH('Registru mijloace fixe'!$N38)-MONTH('Registru mijloace fixe'!$R38)+1),9999),C38*12)))</f>
        <v>0</v>
      </c>
      <c r="AO38" s="16">
        <f t="shared" si="96"/>
        <v>0</v>
      </c>
      <c r="AP38" s="16">
        <f t="shared" si="97"/>
        <v>0</v>
      </c>
      <c r="AQ38" s="16">
        <f t="shared" si="98"/>
        <v>0</v>
      </c>
      <c r="AR38" s="16">
        <f t="shared" si="99"/>
        <v>0</v>
      </c>
      <c r="AS38" s="16">
        <f t="shared" si="100"/>
        <v>0</v>
      </c>
      <c r="AT38" s="16">
        <f t="shared" si="101"/>
        <v>0</v>
      </c>
      <c r="AU38" s="16">
        <f t="shared" si="102"/>
        <v>0</v>
      </c>
      <c r="AV38" s="16">
        <f t="shared" si="103"/>
        <v>0</v>
      </c>
      <c r="AW38" s="16">
        <f t="shared" si="104"/>
        <v>0</v>
      </c>
      <c r="AX38" s="16">
        <f t="shared" si="105"/>
        <v>0</v>
      </c>
      <c r="AY38" s="16">
        <f t="shared" si="106"/>
        <v>0</v>
      </c>
      <c r="AZ38" s="16">
        <f t="shared" si="107"/>
        <v>0</v>
      </c>
      <c r="BA38" s="16">
        <f t="shared" si="108"/>
        <v>0</v>
      </c>
      <c r="BB38" s="16">
        <f t="shared" si="109"/>
        <v>0</v>
      </c>
      <c r="BC38" s="16">
        <f t="shared" si="110"/>
        <v>0</v>
      </c>
      <c r="BD38" s="16">
        <f t="shared" si="111"/>
        <v>0</v>
      </c>
      <c r="BE38" s="16">
        <f t="shared" si="112"/>
        <v>0</v>
      </c>
      <c r="BF38" s="16">
        <f t="shared" si="113"/>
        <v>0</v>
      </c>
      <c r="BG38" s="16">
        <f t="shared" si="114"/>
        <v>0</v>
      </c>
      <c r="BH38" s="16">
        <f t="shared" si="115"/>
        <v>0</v>
      </c>
      <c r="BI38" s="16">
        <f t="shared" si="116"/>
        <v>0</v>
      </c>
      <c r="BJ38" s="16">
        <f t="shared" si="117"/>
        <v>0</v>
      </c>
      <c r="BK38" s="16">
        <f t="shared" si="118"/>
        <v>0</v>
      </c>
      <c r="BL38" s="16">
        <f t="shared" si="119"/>
        <v>0</v>
      </c>
      <c r="BM38" s="16">
        <f t="shared" si="120"/>
        <v>0</v>
      </c>
      <c r="BN38" s="16">
        <f t="shared" si="121"/>
        <v>0</v>
      </c>
      <c r="BO38" s="16">
        <f t="shared" si="122"/>
        <v>0</v>
      </c>
      <c r="BP38" s="16">
        <f t="shared" si="123"/>
        <v>0</v>
      </c>
      <c r="BQ38" s="16">
        <f t="shared" si="124"/>
        <v>0</v>
      </c>
      <c r="BR38" s="16">
        <f t="shared" si="125"/>
        <v>0</v>
      </c>
      <c r="BS38" s="16">
        <f t="shared" si="126"/>
        <v>0</v>
      </c>
      <c r="BT38" s="16">
        <f t="shared" si="127"/>
        <v>0</v>
      </c>
    </row>
    <row r="39" spans="2:72" x14ac:dyDescent="0.2">
      <c r="B39" s="16">
        <f>N('Registru mijloace fixe'!$I39)</f>
        <v>0</v>
      </c>
      <c r="C39" s="27">
        <f>N('Registru mijloace fixe'!$J39)</f>
        <v>0</v>
      </c>
      <c r="D39" s="16" t="str">
        <f>'Registru mijloace fixe'!$K39&amp;""</f>
        <v/>
      </c>
      <c r="E39" s="16">
        <f t="shared" si="64"/>
        <v>1.5</v>
      </c>
      <c r="F39" s="16">
        <f t="shared" si="65"/>
        <v>0.5</v>
      </c>
      <c r="G39" s="16">
        <f t="shared" si="66"/>
        <v>0</v>
      </c>
      <c r="H39" s="16">
        <f t="shared" si="67"/>
        <v>0</v>
      </c>
      <c r="I39" s="16">
        <f t="shared" si="68"/>
        <v>0</v>
      </c>
      <c r="J39" s="16">
        <f t="shared" si="69"/>
        <v>0</v>
      </c>
      <c r="K39" s="16">
        <f t="shared" si="70"/>
        <v>0</v>
      </c>
      <c r="L39" s="16">
        <f t="shared" si="71"/>
        <v>0</v>
      </c>
      <c r="M39" s="16">
        <f t="shared" si="72"/>
        <v>0</v>
      </c>
      <c r="N39" s="16">
        <f t="shared" si="73"/>
        <v>0</v>
      </c>
      <c r="O39" s="16">
        <f t="shared" si="74"/>
        <v>0</v>
      </c>
      <c r="P39" s="16">
        <f t="shared" si="75"/>
        <v>0</v>
      </c>
      <c r="Q39" s="16">
        <f t="shared" si="76"/>
        <v>0</v>
      </c>
      <c r="R39" s="16">
        <f t="shared" si="77"/>
        <v>0</v>
      </c>
      <c r="S39" s="16">
        <f t="shared" si="78"/>
        <v>0</v>
      </c>
      <c r="T39" s="16">
        <f t="shared" si="79"/>
        <v>0</v>
      </c>
      <c r="U39" s="16">
        <f t="shared" si="80"/>
        <v>0</v>
      </c>
      <c r="V39" s="16">
        <f t="shared" si="81"/>
        <v>0</v>
      </c>
      <c r="W39" s="16">
        <f t="shared" si="82"/>
        <v>0</v>
      </c>
      <c r="X39" s="16">
        <f t="shared" si="83"/>
        <v>0</v>
      </c>
      <c r="Y39" s="16">
        <f t="shared" si="84"/>
        <v>0</v>
      </c>
      <c r="Z39" s="16">
        <f t="shared" si="85"/>
        <v>0</v>
      </c>
      <c r="AA39" s="16">
        <f t="shared" si="86"/>
        <v>0</v>
      </c>
      <c r="AB39" s="16">
        <f t="shared" si="87"/>
        <v>0</v>
      </c>
      <c r="AC39" s="16">
        <f t="shared" si="88"/>
        <v>0</v>
      </c>
      <c r="AD39" s="16">
        <f t="shared" si="89"/>
        <v>0</v>
      </c>
      <c r="AE39" s="16">
        <f t="shared" si="90"/>
        <v>0</v>
      </c>
      <c r="AF39" s="16">
        <f t="shared" si="91"/>
        <v>0</v>
      </c>
      <c r="AG39" s="16">
        <f t="shared" si="92"/>
        <v>0</v>
      </c>
      <c r="AH39" s="16">
        <f t="shared" si="93"/>
        <v>0</v>
      </c>
      <c r="AI39" s="16">
        <f t="shared" si="94"/>
        <v>0</v>
      </c>
      <c r="AJ39" s="16">
        <f t="shared" si="95"/>
        <v>0</v>
      </c>
      <c r="AK39" s="16"/>
      <c r="AL39" s="16"/>
      <c r="AM39" s="16">
        <f>IF(NOT(ISNUMBER('Registru mijloace fixe'!$R39)),0,MAX(0,MIN(((YEAR(LunaRef)-YEAR('Registru mijloace fixe'!$R39))*12+MONTH(LunaRef)-MONTH('Registru mijloace fixe'!$R39)+1)-1,IF(ISNUMBER('Registru mijloace fixe'!$N39),((YEAR('Registru mijloace fixe'!$N39)-YEAR('Registru mijloace fixe'!$R39))*12+MONTH('Registru mijloace fixe'!$N39)-MONTH('Registru mijloace fixe'!$R39)+1),9999),C39*12)))</f>
        <v>0</v>
      </c>
      <c r="AN39" s="27">
        <f>IF(NOT(ISNUMBER('Registru mijloace fixe'!$R39)),0,MAX(0,MIN(((YEAR(LunaRef)-YEAR('Registru mijloace fixe'!$R39))*12+MONTH(LunaRef)-MONTH('Registru mijloace fixe'!$R39)+1),IF(ISNUMBER('Registru mijloace fixe'!$N39),((YEAR('Registru mijloace fixe'!$N39)-YEAR('Registru mijloace fixe'!$R39))*12+MONTH('Registru mijloace fixe'!$N39)-MONTH('Registru mijloace fixe'!$R39)+1),9999),C39*12)))</f>
        <v>0</v>
      </c>
      <c r="AO39" s="16">
        <f t="shared" si="96"/>
        <v>0</v>
      </c>
      <c r="AP39" s="16">
        <f t="shared" si="97"/>
        <v>0</v>
      </c>
      <c r="AQ39" s="16">
        <f t="shared" si="98"/>
        <v>0</v>
      </c>
      <c r="AR39" s="16">
        <f t="shared" si="99"/>
        <v>0</v>
      </c>
      <c r="AS39" s="16">
        <f t="shared" si="100"/>
        <v>0</v>
      </c>
      <c r="AT39" s="16">
        <f t="shared" si="101"/>
        <v>0</v>
      </c>
      <c r="AU39" s="16">
        <f t="shared" si="102"/>
        <v>0</v>
      </c>
      <c r="AV39" s="16">
        <f t="shared" si="103"/>
        <v>0</v>
      </c>
      <c r="AW39" s="16">
        <f t="shared" si="104"/>
        <v>0</v>
      </c>
      <c r="AX39" s="16">
        <f t="shared" si="105"/>
        <v>0</v>
      </c>
      <c r="AY39" s="16">
        <f t="shared" si="106"/>
        <v>0</v>
      </c>
      <c r="AZ39" s="16">
        <f t="shared" si="107"/>
        <v>0</v>
      </c>
      <c r="BA39" s="16">
        <f t="shared" si="108"/>
        <v>0</v>
      </c>
      <c r="BB39" s="16">
        <f t="shared" si="109"/>
        <v>0</v>
      </c>
      <c r="BC39" s="16">
        <f t="shared" si="110"/>
        <v>0</v>
      </c>
      <c r="BD39" s="16">
        <f t="shared" si="111"/>
        <v>0</v>
      </c>
      <c r="BE39" s="16">
        <f t="shared" si="112"/>
        <v>0</v>
      </c>
      <c r="BF39" s="16">
        <f t="shared" si="113"/>
        <v>0</v>
      </c>
      <c r="BG39" s="16">
        <f t="shared" si="114"/>
        <v>0</v>
      </c>
      <c r="BH39" s="16">
        <f t="shared" si="115"/>
        <v>0</v>
      </c>
      <c r="BI39" s="16">
        <f t="shared" si="116"/>
        <v>0</v>
      </c>
      <c r="BJ39" s="16">
        <f t="shared" si="117"/>
        <v>0</v>
      </c>
      <c r="BK39" s="16">
        <f t="shared" si="118"/>
        <v>0</v>
      </c>
      <c r="BL39" s="16">
        <f t="shared" si="119"/>
        <v>0</v>
      </c>
      <c r="BM39" s="16">
        <f t="shared" si="120"/>
        <v>0</v>
      </c>
      <c r="BN39" s="16">
        <f t="shared" si="121"/>
        <v>0</v>
      </c>
      <c r="BO39" s="16">
        <f t="shared" si="122"/>
        <v>0</v>
      </c>
      <c r="BP39" s="16">
        <f t="shared" si="123"/>
        <v>0</v>
      </c>
      <c r="BQ39" s="16">
        <f t="shared" si="124"/>
        <v>0</v>
      </c>
      <c r="BR39" s="16">
        <f t="shared" si="125"/>
        <v>0</v>
      </c>
      <c r="BS39" s="16">
        <f t="shared" si="126"/>
        <v>0</v>
      </c>
      <c r="BT39" s="16">
        <f t="shared" si="127"/>
        <v>0</v>
      </c>
    </row>
    <row r="40" spans="2:72" x14ac:dyDescent="0.2">
      <c r="B40" s="16">
        <f>N('Registru mijloace fixe'!$I40)</f>
        <v>0</v>
      </c>
      <c r="C40" s="27">
        <f>N('Registru mijloace fixe'!$J40)</f>
        <v>0</v>
      </c>
      <c r="D40" s="16" t="str">
        <f>'Registru mijloace fixe'!$K40&amp;""</f>
        <v/>
      </c>
      <c r="E40" s="16">
        <f t="shared" si="64"/>
        <v>1.5</v>
      </c>
      <c r="F40" s="16">
        <f t="shared" si="65"/>
        <v>0.5</v>
      </c>
      <c r="G40" s="16">
        <f t="shared" si="66"/>
        <v>0</v>
      </c>
      <c r="H40" s="16">
        <f t="shared" si="67"/>
        <v>0</v>
      </c>
      <c r="I40" s="16">
        <f t="shared" si="68"/>
        <v>0</v>
      </c>
      <c r="J40" s="16">
        <f t="shared" si="69"/>
        <v>0</v>
      </c>
      <c r="K40" s="16">
        <f t="shared" si="70"/>
        <v>0</v>
      </c>
      <c r="L40" s="16">
        <f t="shared" si="71"/>
        <v>0</v>
      </c>
      <c r="M40" s="16">
        <f t="shared" si="72"/>
        <v>0</v>
      </c>
      <c r="N40" s="16">
        <f t="shared" si="73"/>
        <v>0</v>
      </c>
      <c r="O40" s="16">
        <f t="shared" si="74"/>
        <v>0</v>
      </c>
      <c r="P40" s="16">
        <f t="shared" si="75"/>
        <v>0</v>
      </c>
      <c r="Q40" s="16">
        <f t="shared" si="76"/>
        <v>0</v>
      </c>
      <c r="R40" s="16">
        <f t="shared" si="77"/>
        <v>0</v>
      </c>
      <c r="S40" s="16">
        <f t="shared" si="78"/>
        <v>0</v>
      </c>
      <c r="T40" s="16">
        <f t="shared" si="79"/>
        <v>0</v>
      </c>
      <c r="U40" s="16">
        <f t="shared" si="80"/>
        <v>0</v>
      </c>
      <c r="V40" s="16">
        <f t="shared" si="81"/>
        <v>0</v>
      </c>
      <c r="W40" s="16">
        <f t="shared" si="82"/>
        <v>0</v>
      </c>
      <c r="X40" s="16">
        <f t="shared" si="83"/>
        <v>0</v>
      </c>
      <c r="Y40" s="16">
        <f t="shared" si="84"/>
        <v>0</v>
      </c>
      <c r="Z40" s="16">
        <f t="shared" si="85"/>
        <v>0</v>
      </c>
      <c r="AA40" s="16">
        <f t="shared" si="86"/>
        <v>0</v>
      </c>
      <c r="AB40" s="16">
        <f t="shared" si="87"/>
        <v>0</v>
      </c>
      <c r="AC40" s="16">
        <f t="shared" si="88"/>
        <v>0</v>
      </c>
      <c r="AD40" s="16">
        <f t="shared" si="89"/>
        <v>0</v>
      </c>
      <c r="AE40" s="16">
        <f t="shared" si="90"/>
        <v>0</v>
      </c>
      <c r="AF40" s="16">
        <f t="shared" si="91"/>
        <v>0</v>
      </c>
      <c r="AG40" s="16">
        <f t="shared" si="92"/>
        <v>0</v>
      </c>
      <c r="AH40" s="16">
        <f t="shared" si="93"/>
        <v>0</v>
      </c>
      <c r="AI40" s="16">
        <f t="shared" si="94"/>
        <v>0</v>
      </c>
      <c r="AJ40" s="16">
        <f t="shared" si="95"/>
        <v>0</v>
      </c>
      <c r="AK40" s="16"/>
      <c r="AL40" s="16"/>
      <c r="AM40" s="16">
        <f>IF(NOT(ISNUMBER('Registru mijloace fixe'!$R40)),0,MAX(0,MIN(((YEAR(LunaRef)-YEAR('Registru mijloace fixe'!$R40))*12+MONTH(LunaRef)-MONTH('Registru mijloace fixe'!$R40)+1)-1,IF(ISNUMBER('Registru mijloace fixe'!$N40),((YEAR('Registru mijloace fixe'!$N40)-YEAR('Registru mijloace fixe'!$R40))*12+MONTH('Registru mijloace fixe'!$N40)-MONTH('Registru mijloace fixe'!$R40)+1),9999),C40*12)))</f>
        <v>0</v>
      </c>
      <c r="AN40" s="27">
        <f>IF(NOT(ISNUMBER('Registru mijloace fixe'!$R40)),0,MAX(0,MIN(((YEAR(LunaRef)-YEAR('Registru mijloace fixe'!$R40))*12+MONTH(LunaRef)-MONTH('Registru mijloace fixe'!$R40)+1),IF(ISNUMBER('Registru mijloace fixe'!$N40),((YEAR('Registru mijloace fixe'!$N40)-YEAR('Registru mijloace fixe'!$R40))*12+MONTH('Registru mijloace fixe'!$N40)-MONTH('Registru mijloace fixe'!$R40)+1),9999),C40*12)))</f>
        <v>0</v>
      </c>
      <c r="AO40" s="16">
        <f t="shared" si="96"/>
        <v>0</v>
      </c>
      <c r="AP40" s="16">
        <f t="shared" si="97"/>
        <v>0</v>
      </c>
      <c r="AQ40" s="16">
        <f t="shared" si="98"/>
        <v>0</v>
      </c>
      <c r="AR40" s="16">
        <f t="shared" si="99"/>
        <v>0</v>
      </c>
      <c r="AS40" s="16">
        <f t="shared" si="100"/>
        <v>0</v>
      </c>
      <c r="AT40" s="16">
        <f t="shared" si="101"/>
        <v>0</v>
      </c>
      <c r="AU40" s="16">
        <f t="shared" si="102"/>
        <v>0</v>
      </c>
      <c r="AV40" s="16">
        <f t="shared" si="103"/>
        <v>0</v>
      </c>
      <c r="AW40" s="16">
        <f t="shared" si="104"/>
        <v>0</v>
      </c>
      <c r="AX40" s="16">
        <f t="shared" si="105"/>
        <v>0</v>
      </c>
      <c r="AY40" s="16">
        <f t="shared" si="106"/>
        <v>0</v>
      </c>
      <c r="AZ40" s="16">
        <f t="shared" si="107"/>
        <v>0</v>
      </c>
      <c r="BA40" s="16">
        <f t="shared" si="108"/>
        <v>0</v>
      </c>
      <c r="BB40" s="16">
        <f t="shared" si="109"/>
        <v>0</v>
      </c>
      <c r="BC40" s="16">
        <f t="shared" si="110"/>
        <v>0</v>
      </c>
      <c r="BD40" s="16">
        <f t="shared" si="111"/>
        <v>0</v>
      </c>
      <c r="BE40" s="16">
        <f t="shared" si="112"/>
        <v>0</v>
      </c>
      <c r="BF40" s="16">
        <f t="shared" si="113"/>
        <v>0</v>
      </c>
      <c r="BG40" s="16">
        <f t="shared" si="114"/>
        <v>0</v>
      </c>
      <c r="BH40" s="16">
        <f t="shared" si="115"/>
        <v>0</v>
      </c>
      <c r="BI40" s="16">
        <f t="shared" si="116"/>
        <v>0</v>
      </c>
      <c r="BJ40" s="16">
        <f t="shared" si="117"/>
        <v>0</v>
      </c>
      <c r="BK40" s="16">
        <f t="shared" si="118"/>
        <v>0</v>
      </c>
      <c r="BL40" s="16">
        <f t="shared" si="119"/>
        <v>0</v>
      </c>
      <c r="BM40" s="16">
        <f t="shared" si="120"/>
        <v>0</v>
      </c>
      <c r="BN40" s="16">
        <f t="shared" si="121"/>
        <v>0</v>
      </c>
      <c r="BO40" s="16">
        <f t="shared" si="122"/>
        <v>0</v>
      </c>
      <c r="BP40" s="16">
        <f t="shared" si="123"/>
        <v>0</v>
      </c>
      <c r="BQ40" s="16">
        <f t="shared" si="124"/>
        <v>0</v>
      </c>
      <c r="BR40" s="16">
        <f t="shared" si="125"/>
        <v>0</v>
      </c>
      <c r="BS40" s="16">
        <f t="shared" si="126"/>
        <v>0</v>
      </c>
      <c r="BT40" s="16">
        <f t="shared" si="127"/>
        <v>0</v>
      </c>
    </row>
    <row r="41" spans="2:72" x14ac:dyDescent="0.2">
      <c r="B41" s="16">
        <f>N('Registru mijloace fixe'!$I41)</f>
        <v>0</v>
      </c>
      <c r="C41" s="27">
        <f>N('Registru mijloace fixe'!$J41)</f>
        <v>0</v>
      </c>
      <c r="D41" s="16" t="str">
        <f>'Registru mijloace fixe'!$K41&amp;""</f>
        <v/>
      </c>
      <c r="E41" s="16">
        <f t="shared" si="64"/>
        <v>1.5</v>
      </c>
      <c r="F41" s="16">
        <f t="shared" si="65"/>
        <v>0.5</v>
      </c>
      <c r="G41" s="16">
        <f t="shared" si="66"/>
        <v>0</v>
      </c>
      <c r="H41" s="16">
        <f t="shared" si="67"/>
        <v>0</v>
      </c>
      <c r="I41" s="16">
        <f t="shared" si="68"/>
        <v>0</v>
      </c>
      <c r="J41" s="16">
        <f t="shared" si="69"/>
        <v>0</v>
      </c>
      <c r="K41" s="16">
        <f t="shared" si="70"/>
        <v>0</v>
      </c>
      <c r="L41" s="16">
        <f t="shared" si="71"/>
        <v>0</v>
      </c>
      <c r="M41" s="16">
        <f t="shared" si="72"/>
        <v>0</v>
      </c>
      <c r="N41" s="16">
        <f t="shared" si="73"/>
        <v>0</v>
      </c>
      <c r="O41" s="16">
        <f t="shared" si="74"/>
        <v>0</v>
      </c>
      <c r="P41" s="16">
        <f t="shared" si="75"/>
        <v>0</v>
      </c>
      <c r="Q41" s="16">
        <f t="shared" si="76"/>
        <v>0</v>
      </c>
      <c r="R41" s="16">
        <f t="shared" si="77"/>
        <v>0</v>
      </c>
      <c r="S41" s="16">
        <f t="shared" si="78"/>
        <v>0</v>
      </c>
      <c r="T41" s="16">
        <f t="shared" si="79"/>
        <v>0</v>
      </c>
      <c r="U41" s="16">
        <f t="shared" si="80"/>
        <v>0</v>
      </c>
      <c r="V41" s="16">
        <f t="shared" si="81"/>
        <v>0</v>
      </c>
      <c r="W41" s="16">
        <f t="shared" si="82"/>
        <v>0</v>
      </c>
      <c r="X41" s="16">
        <f t="shared" si="83"/>
        <v>0</v>
      </c>
      <c r="Y41" s="16">
        <f t="shared" si="84"/>
        <v>0</v>
      </c>
      <c r="Z41" s="16">
        <f t="shared" si="85"/>
        <v>0</v>
      </c>
      <c r="AA41" s="16">
        <f t="shared" si="86"/>
        <v>0</v>
      </c>
      <c r="AB41" s="16">
        <f t="shared" si="87"/>
        <v>0</v>
      </c>
      <c r="AC41" s="16">
        <f t="shared" si="88"/>
        <v>0</v>
      </c>
      <c r="AD41" s="16">
        <f t="shared" si="89"/>
        <v>0</v>
      </c>
      <c r="AE41" s="16">
        <f t="shared" si="90"/>
        <v>0</v>
      </c>
      <c r="AF41" s="16">
        <f t="shared" si="91"/>
        <v>0</v>
      </c>
      <c r="AG41" s="16">
        <f t="shared" si="92"/>
        <v>0</v>
      </c>
      <c r="AH41" s="16">
        <f t="shared" si="93"/>
        <v>0</v>
      </c>
      <c r="AI41" s="16">
        <f t="shared" si="94"/>
        <v>0</v>
      </c>
      <c r="AJ41" s="16">
        <f t="shared" si="95"/>
        <v>0</v>
      </c>
      <c r="AK41" s="16"/>
      <c r="AL41" s="16"/>
      <c r="AM41" s="16">
        <f>IF(NOT(ISNUMBER('Registru mijloace fixe'!$R41)),0,MAX(0,MIN(((YEAR(LunaRef)-YEAR('Registru mijloace fixe'!$R41))*12+MONTH(LunaRef)-MONTH('Registru mijloace fixe'!$R41)+1)-1,IF(ISNUMBER('Registru mijloace fixe'!$N41),((YEAR('Registru mijloace fixe'!$N41)-YEAR('Registru mijloace fixe'!$R41))*12+MONTH('Registru mijloace fixe'!$N41)-MONTH('Registru mijloace fixe'!$R41)+1),9999),C41*12)))</f>
        <v>0</v>
      </c>
      <c r="AN41" s="27">
        <f>IF(NOT(ISNUMBER('Registru mijloace fixe'!$R41)),0,MAX(0,MIN(((YEAR(LunaRef)-YEAR('Registru mijloace fixe'!$R41))*12+MONTH(LunaRef)-MONTH('Registru mijloace fixe'!$R41)+1),IF(ISNUMBER('Registru mijloace fixe'!$N41),((YEAR('Registru mijloace fixe'!$N41)-YEAR('Registru mijloace fixe'!$R41))*12+MONTH('Registru mijloace fixe'!$N41)-MONTH('Registru mijloace fixe'!$R41)+1),9999),C41*12)))</f>
        <v>0</v>
      </c>
      <c r="AO41" s="16">
        <f t="shared" si="96"/>
        <v>0</v>
      </c>
      <c r="AP41" s="16">
        <f t="shared" si="97"/>
        <v>0</v>
      </c>
      <c r="AQ41" s="16">
        <f t="shared" si="98"/>
        <v>0</v>
      </c>
      <c r="AR41" s="16">
        <f t="shared" si="99"/>
        <v>0</v>
      </c>
      <c r="AS41" s="16">
        <f t="shared" si="100"/>
        <v>0</v>
      </c>
      <c r="AT41" s="16">
        <f t="shared" si="101"/>
        <v>0</v>
      </c>
      <c r="AU41" s="16">
        <f t="shared" si="102"/>
        <v>0</v>
      </c>
      <c r="AV41" s="16">
        <f t="shared" si="103"/>
        <v>0</v>
      </c>
      <c r="AW41" s="16">
        <f t="shared" si="104"/>
        <v>0</v>
      </c>
      <c r="AX41" s="16">
        <f t="shared" si="105"/>
        <v>0</v>
      </c>
      <c r="AY41" s="16">
        <f t="shared" si="106"/>
        <v>0</v>
      </c>
      <c r="AZ41" s="16">
        <f t="shared" si="107"/>
        <v>0</v>
      </c>
      <c r="BA41" s="16">
        <f t="shared" si="108"/>
        <v>0</v>
      </c>
      <c r="BB41" s="16">
        <f t="shared" si="109"/>
        <v>0</v>
      </c>
      <c r="BC41" s="16">
        <f t="shared" si="110"/>
        <v>0</v>
      </c>
      <c r="BD41" s="16">
        <f t="shared" si="111"/>
        <v>0</v>
      </c>
      <c r="BE41" s="16">
        <f t="shared" si="112"/>
        <v>0</v>
      </c>
      <c r="BF41" s="16">
        <f t="shared" si="113"/>
        <v>0</v>
      </c>
      <c r="BG41" s="16">
        <f t="shared" si="114"/>
        <v>0</v>
      </c>
      <c r="BH41" s="16">
        <f t="shared" si="115"/>
        <v>0</v>
      </c>
      <c r="BI41" s="16">
        <f t="shared" si="116"/>
        <v>0</v>
      </c>
      <c r="BJ41" s="16">
        <f t="shared" si="117"/>
        <v>0</v>
      </c>
      <c r="BK41" s="16">
        <f t="shared" si="118"/>
        <v>0</v>
      </c>
      <c r="BL41" s="16">
        <f t="shared" si="119"/>
        <v>0</v>
      </c>
      <c r="BM41" s="16">
        <f t="shared" si="120"/>
        <v>0</v>
      </c>
      <c r="BN41" s="16">
        <f t="shared" si="121"/>
        <v>0</v>
      </c>
      <c r="BO41" s="16">
        <f t="shared" si="122"/>
        <v>0</v>
      </c>
      <c r="BP41" s="16">
        <f t="shared" si="123"/>
        <v>0</v>
      </c>
      <c r="BQ41" s="16">
        <f t="shared" si="124"/>
        <v>0</v>
      </c>
      <c r="BR41" s="16">
        <f t="shared" si="125"/>
        <v>0</v>
      </c>
      <c r="BS41" s="16">
        <f t="shared" si="126"/>
        <v>0</v>
      </c>
      <c r="BT41" s="16">
        <f t="shared" si="127"/>
        <v>0</v>
      </c>
    </row>
    <row r="42" spans="2:72" x14ac:dyDescent="0.2">
      <c r="B42" s="16">
        <f>N('Registru mijloace fixe'!$I42)</f>
        <v>0</v>
      </c>
      <c r="C42" s="27">
        <f>N('Registru mijloace fixe'!$J42)</f>
        <v>0</v>
      </c>
      <c r="D42" s="16" t="str">
        <f>'Registru mijloace fixe'!$K42&amp;""</f>
        <v/>
      </c>
      <c r="E42" s="16">
        <f t="shared" si="64"/>
        <v>1.5</v>
      </c>
      <c r="F42" s="16">
        <f t="shared" si="65"/>
        <v>0.5</v>
      </c>
      <c r="G42" s="16">
        <f t="shared" si="66"/>
        <v>0</v>
      </c>
      <c r="H42" s="16">
        <f t="shared" si="67"/>
        <v>0</v>
      </c>
      <c r="I42" s="16">
        <f t="shared" si="68"/>
        <v>0</v>
      </c>
      <c r="J42" s="16">
        <f t="shared" si="69"/>
        <v>0</v>
      </c>
      <c r="K42" s="16">
        <f t="shared" si="70"/>
        <v>0</v>
      </c>
      <c r="L42" s="16">
        <f t="shared" si="71"/>
        <v>0</v>
      </c>
      <c r="M42" s="16">
        <f t="shared" si="72"/>
        <v>0</v>
      </c>
      <c r="N42" s="16">
        <f t="shared" si="73"/>
        <v>0</v>
      </c>
      <c r="O42" s="16">
        <f t="shared" si="74"/>
        <v>0</v>
      </c>
      <c r="P42" s="16">
        <f t="shared" si="75"/>
        <v>0</v>
      </c>
      <c r="Q42" s="16">
        <f t="shared" si="76"/>
        <v>0</v>
      </c>
      <c r="R42" s="16">
        <f t="shared" si="77"/>
        <v>0</v>
      </c>
      <c r="S42" s="16">
        <f t="shared" si="78"/>
        <v>0</v>
      </c>
      <c r="T42" s="16">
        <f t="shared" si="79"/>
        <v>0</v>
      </c>
      <c r="U42" s="16">
        <f t="shared" si="80"/>
        <v>0</v>
      </c>
      <c r="V42" s="16">
        <f t="shared" si="81"/>
        <v>0</v>
      </c>
      <c r="W42" s="16">
        <f t="shared" si="82"/>
        <v>0</v>
      </c>
      <c r="X42" s="16">
        <f t="shared" si="83"/>
        <v>0</v>
      </c>
      <c r="Y42" s="16">
        <f t="shared" si="84"/>
        <v>0</v>
      </c>
      <c r="Z42" s="16">
        <f t="shared" si="85"/>
        <v>0</v>
      </c>
      <c r="AA42" s="16">
        <f t="shared" si="86"/>
        <v>0</v>
      </c>
      <c r="AB42" s="16">
        <f t="shared" si="87"/>
        <v>0</v>
      </c>
      <c r="AC42" s="16">
        <f t="shared" si="88"/>
        <v>0</v>
      </c>
      <c r="AD42" s="16">
        <f t="shared" si="89"/>
        <v>0</v>
      </c>
      <c r="AE42" s="16">
        <f t="shared" si="90"/>
        <v>0</v>
      </c>
      <c r="AF42" s="16">
        <f t="shared" si="91"/>
        <v>0</v>
      </c>
      <c r="AG42" s="16">
        <f t="shared" si="92"/>
        <v>0</v>
      </c>
      <c r="AH42" s="16">
        <f t="shared" si="93"/>
        <v>0</v>
      </c>
      <c r="AI42" s="16">
        <f t="shared" si="94"/>
        <v>0</v>
      </c>
      <c r="AJ42" s="16">
        <f t="shared" si="95"/>
        <v>0</v>
      </c>
      <c r="AK42" s="16"/>
      <c r="AL42" s="16"/>
      <c r="AM42" s="16">
        <f>IF(NOT(ISNUMBER('Registru mijloace fixe'!$R42)),0,MAX(0,MIN(((YEAR(LunaRef)-YEAR('Registru mijloace fixe'!$R42))*12+MONTH(LunaRef)-MONTH('Registru mijloace fixe'!$R42)+1)-1,IF(ISNUMBER('Registru mijloace fixe'!$N42),((YEAR('Registru mijloace fixe'!$N42)-YEAR('Registru mijloace fixe'!$R42))*12+MONTH('Registru mijloace fixe'!$N42)-MONTH('Registru mijloace fixe'!$R42)+1),9999),C42*12)))</f>
        <v>0</v>
      </c>
      <c r="AN42" s="27">
        <f>IF(NOT(ISNUMBER('Registru mijloace fixe'!$R42)),0,MAX(0,MIN(((YEAR(LunaRef)-YEAR('Registru mijloace fixe'!$R42))*12+MONTH(LunaRef)-MONTH('Registru mijloace fixe'!$R42)+1),IF(ISNUMBER('Registru mijloace fixe'!$N42),((YEAR('Registru mijloace fixe'!$N42)-YEAR('Registru mijloace fixe'!$R42))*12+MONTH('Registru mijloace fixe'!$N42)-MONTH('Registru mijloace fixe'!$R42)+1),9999),C42*12)))</f>
        <v>0</v>
      </c>
      <c r="AO42" s="16">
        <f t="shared" si="96"/>
        <v>0</v>
      </c>
      <c r="AP42" s="16">
        <f t="shared" si="97"/>
        <v>0</v>
      </c>
      <c r="AQ42" s="16">
        <f t="shared" si="98"/>
        <v>0</v>
      </c>
      <c r="AR42" s="16">
        <f t="shared" si="99"/>
        <v>0</v>
      </c>
      <c r="AS42" s="16">
        <f t="shared" si="100"/>
        <v>0</v>
      </c>
      <c r="AT42" s="16">
        <f t="shared" si="101"/>
        <v>0</v>
      </c>
      <c r="AU42" s="16">
        <f t="shared" si="102"/>
        <v>0</v>
      </c>
      <c r="AV42" s="16">
        <f t="shared" si="103"/>
        <v>0</v>
      </c>
      <c r="AW42" s="16">
        <f t="shared" si="104"/>
        <v>0</v>
      </c>
      <c r="AX42" s="16">
        <f t="shared" si="105"/>
        <v>0</v>
      </c>
      <c r="AY42" s="16">
        <f t="shared" si="106"/>
        <v>0</v>
      </c>
      <c r="AZ42" s="16">
        <f t="shared" si="107"/>
        <v>0</v>
      </c>
      <c r="BA42" s="16">
        <f t="shared" si="108"/>
        <v>0</v>
      </c>
      <c r="BB42" s="16">
        <f t="shared" si="109"/>
        <v>0</v>
      </c>
      <c r="BC42" s="16">
        <f t="shared" si="110"/>
        <v>0</v>
      </c>
      <c r="BD42" s="16">
        <f t="shared" si="111"/>
        <v>0</v>
      </c>
      <c r="BE42" s="16">
        <f t="shared" si="112"/>
        <v>0</v>
      </c>
      <c r="BF42" s="16">
        <f t="shared" si="113"/>
        <v>0</v>
      </c>
      <c r="BG42" s="16">
        <f t="shared" si="114"/>
        <v>0</v>
      </c>
      <c r="BH42" s="16">
        <f t="shared" si="115"/>
        <v>0</v>
      </c>
      <c r="BI42" s="16">
        <f t="shared" si="116"/>
        <v>0</v>
      </c>
      <c r="BJ42" s="16">
        <f t="shared" si="117"/>
        <v>0</v>
      </c>
      <c r="BK42" s="16">
        <f t="shared" si="118"/>
        <v>0</v>
      </c>
      <c r="BL42" s="16">
        <f t="shared" si="119"/>
        <v>0</v>
      </c>
      <c r="BM42" s="16">
        <f t="shared" si="120"/>
        <v>0</v>
      </c>
      <c r="BN42" s="16">
        <f t="shared" si="121"/>
        <v>0</v>
      </c>
      <c r="BO42" s="16">
        <f t="shared" si="122"/>
        <v>0</v>
      </c>
      <c r="BP42" s="16">
        <f t="shared" si="123"/>
        <v>0</v>
      </c>
      <c r="BQ42" s="16">
        <f t="shared" si="124"/>
        <v>0</v>
      </c>
      <c r="BR42" s="16">
        <f t="shared" si="125"/>
        <v>0</v>
      </c>
      <c r="BS42" s="16">
        <f t="shared" si="126"/>
        <v>0</v>
      </c>
      <c r="BT42" s="16">
        <f t="shared" si="127"/>
        <v>0</v>
      </c>
    </row>
    <row r="43" spans="2:72" x14ac:dyDescent="0.2">
      <c r="B43" s="16">
        <f>N('Registru mijloace fixe'!$I43)</f>
        <v>0</v>
      </c>
      <c r="C43" s="27">
        <f>N('Registru mijloace fixe'!$J43)</f>
        <v>0</v>
      </c>
      <c r="D43" s="16" t="str">
        <f>'Registru mijloace fixe'!$K43&amp;""</f>
        <v/>
      </c>
      <c r="E43" s="16">
        <f t="shared" si="64"/>
        <v>1.5</v>
      </c>
      <c r="F43" s="16">
        <f t="shared" si="65"/>
        <v>0.5</v>
      </c>
      <c r="G43" s="16">
        <f t="shared" si="66"/>
        <v>0</v>
      </c>
      <c r="H43" s="16">
        <f t="shared" si="67"/>
        <v>0</v>
      </c>
      <c r="I43" s="16">
        <f t="shared" si="68"/>
        <v>0</v>
      </c>
      <c r="J43" s="16">
        <f t="shared" si="69"/>
        <v>0</v>
      </c>
      <c r="K43" s="16">
        <f t="shared" si="70"/>
        <v>0</v>
      </c>
      <c r="L43" s="16">
        <f t="shared" si="71"/>
        <v>0</v>
      </c>
      <c r="M43" s="16">
        <f t="shared" si="72"/>
        <v>0</v>
      </c>
      <c r="N43" s="16">
        <f t="shared" si="73"/>
        <v>0</v>
      </c>
      <c r="O43" s="16">
        <f t="shared" si="74"/>
        <v>0</v>
      </c>
      <c r="P43" s="16">
        <f t="shared" si="75"/>
        <v>0</v>
      </c>
      <c r="Q43" s="16">
        <f t="shared" si="76"/>
        <v>0</v>
      </c>
      <c r="R43" s="16">
        <f t="shared" si="77"/>
        <v>0</v>
      </c>
      <c r="S43" s="16">
        <f t="shared" si="78"/>
        <v>0</v>
      </c>
      <c r="T43" s="16">
        <f t="shared" si="79"/>
        <v>0</v>
      </c>
      <c r="U43" s="16">
        <f t="shared" si="80"/>
        <v>0</v>
      </c>
      <c r="V43" s="16">
        <f t="shared" si="81"/>
        <v>0</v>
      </c>
      <c r="W43" s="16">
        <f t="shared" si="82"/>
        <v>0</v>
      </c>
      <c r="X43" s="16">
        <f t="shared" si="83"/>
        <v>0</v>
      </c>
      <c r="Y43" s="16">
        <f t="shared" si="84"/>
        <v>0</v>
      </c>
      <c r="Z43" s="16">
        <f t="shared" si="85"/>
        <v>0</v>
      </c>
      <c r="AA43" s="16">
        <f t="shared" si="86"/>
        <v>0</v>
      </c>
      <c r="AB43" s="16">
        <f t="shared" si="87"/>
        <v>0</v>
      </c>
      <c r="AC43" s="16">
        <f t="shared" si="88"/>
        <v>0</v>
      </c>
      <c r="AD43" s="16">
        <f t="shared" si="89"/>
        <v>0</v>
      </c>
      <c r="AE43" s="16">
        <f t="shared" si="90"/>
        <v>0</v>
      </c>
      <c r="AF43" s="16">
        <f t="shared" si="91"/>
        <v>0</v>
      </c>
      <c r="AG43" s="16">
        <f t="shared" si="92"/>
        <v>0</v>
      </c>
      <c r="AH43" s="16">
        <f t="shared" si="93"/>
        <v>0</v>
      </c>
      <c r="AI43" s="16">
        <f t="shared" si="94"/>
        <v>0</v>
      </c>
      <c r="AJ43" s="16">
        <f t="shared" si="95"/>
        <v>0</v>
      </c>
      <c r="AK43" s="16"/>
      <c r="AL43" s="16"/>
      <c r="AM43" s="16">
        <f>IF(NOT(ISNUMBER('Registru mijloace fixe'!$R43)),0,MAX(0,MIN(((YEAR(LunaRef)-YEAR('Registru mijloace fixe'!$R43))*12+MONTH(LunaRef)-MONTH('Registru mijloace fixe'!$R43)+1)-1,IF(ISNUMBER('Registru mijloace fixe'!$N43),((YEAR('Registru mijloace fixe'!$N43)-YEAR('Registru mijloace fixe'!$R43))*12+MONTH('Registru mijloace fixe'!$N43)-MONTH('Registru mijloace fixe'!$R43)+1),9999),C43*12)))</f>
        <v>0</v>
      </c>
      <c r="AN43" s="27">
        <f>IF(NOT(ISNUMBER('Registru mijloace fixe'!$R43)),0,MAX(0,MIN(((YEAR(LunaRef)-YEAR('Registru mijloace fixe'!$R43))*12+MONTH(LunaRef)-MONTH('Registru mijloace fixe'!$R43)+1),IF(ISNUMBER('Registru mijloace fixe'!$N43),((YEAR('Registru mijloace fixe'!$N43)-YEAR('Registru mijloace fixe'!$R43))*12+MONTH('Registru mijloace fixe'!$N43)-MONTH('Registru mijloace fixe'!$R43)+1),9999),C43*12)))</f>
        <v>0</v>
      </c>
      <c r="AO43" s="16">
        <f t="shared" si="96"/>
        <v>0</v>
      </c>
      <c r="AP43" s="16">
        <f t="shared" si="97"/>
        <v>0</v>
      </c>
      <c r="AQ43" s="16">
        <f t="shared" si="98"/>
        <v>0</v>
      </c>
      <c r="AR43" s="16">
        <f t="shared" si="99"/>
        <v>0</v>
      </c>
      <c r="AS43" s="16">
        <f t="shared" si="100"/>
        <v>0</v>
      </c>
      <c r="AT43" s="16">
        <f t="shared" si="101"/>
        <v>0</v>
      </c>
      <c r="AU43" s="16">
        <f t="shared" si="102"/>
        <v>0</v>
      </c>
      <c r="AV43" s="16">
        <f t="shared" si="103"/>
        <v>0</v>
      </c>
      <c r="AW43" s="16">
        <f t="shared" si="104"/>
        <v>0</v>
      </c>
      <c r="AX43" s="16">
        <f t="shared" si="105"/>
        <v>0</v>
      </c>
      <c r="AY43" s="16">
        <f t="shared" si="106"/>
        <v>0</v>
      </c>
      <c r="AZ43" s="16">
        <f t="shared" si="107"/>
        <v>0</v>
      </c>
      <c r="BA43" s="16">
        <f t="shared" si="108"/>
        <v>0</v>
      </c>
      <c r="BB43" s="16">
        <f t="shared" si="109"/>
        <v>0</v>
      </c>
      <c r="BC43" s="16">
        <f t="shared" si="110"/>
        <v>0</v>
      </c>
      <c r="BD43" s="16">
        <f t="shared" si="111"/>
        <v>0</v>
      </c>
      <c r="BE43" s="16">
        <f t="shared" si="112"/>
        <v>0</v>
      </c>
      <c r="BF43" s="16">
        <f t="shared" si="113"/>
        <v>0</v>
      </c>
      <c r="BG43" s="16">
        <f t="shared" si="114"/>
        <v>0</v>
      </c>
      <c r="BH43" s="16">
        <f t="shared" si="115"/>
        <v>0</v>
      </c>
      <c r="BI43" s="16">
        <f t="shared" si="116"/>
        <v>0</v>
      </c>
      <c r="BJ43" s="16">
        <f t="shared" si="117"/>
        <v>0</v>
      </c>
      <c r="BK43" s="16">
        <f t="shared" si="118"/>
        <v>0</v>
      </c>
      <c r="BL43" s="16">
        <f t="shared" si="119"/>
        <v>0</v>
      </c>
      <c r="BM43" s="16">
        <f t="shared" si="120"/>
        <v>0</v>
      </c>
      <c r="BN43" s="16">
        <f t="shared" si="121"/>
        <v>0</v>
      </c>
      <c r="BO43" s="16">
        <f t="shared" si="122"/>
        <v>0</v>
      </c>
      <c r="BP43" s="16">
        <f t="shared" si="123"/>
        <v>0</v>
      </c>
      <c r="BQ43" s="16">
        <f t="shared" si="124"/>
        <v>0</v>
      </c>
      <c r="BR43" s="16">
        <f t="shared" si="125"/>
        <v>0</v>
      </c>
      <c r="BS43" s="16">
        <f t="shared" si="126"/>
        <v>0</v>
      </c>
      <c r="BT43" s="16">
        <f t="shared" si="127"/>
        <v>0</v>
      </c>
    </row>
    <row r="44" spans="2:72" x14ac:dyDescent="0.2">
      <c r="B44" s="16">
        <f>N('Registru mijloace fixe'!$I44)</f>
        <v>0</v>
      </c>
      <c r="C44" s="27">
        <f>N('Registru mijloace fixe'!$J44)</f>
        <v>0</v>
      </c>
      <c r="D44" s="16" t="str">
        <f>'Registru mijloace fixe'!$K44&amp;""</f>
        <v/>
      </c>
      <c r="E44" s="16">
        <f t="shared" si="64"/>
        <v>1.5</v>
      </c>
      <c r="F44" s="16">
        <f t="shared" si="65"/>
        <v>0.5</v>
      </c>
      <c r="G44" s="16">
        <f t="shared" si="66"/>
        <v>0</v>
      </c>
      <c r="H44" s="16">
        <f t="shared" si="67"/>
        <v>0</v>
      </c>
      <c r="I44" s="16">
        <f t="shared" si="68"/>
        <v>0</v>
      </c>
      <c r="J44" s="16">
        <f t="shared" si="69"/>
        <v>0</v>
      </c>
      <c r="K44" s="16">
        <f t="shared" si="70"/>
        <v>0</v>
      </c>
      <c r="L44" s="16">
        <f t="shared" si="71"/>
        <v>0</v>
      </c>
      <c r="M44" s="16">
        <f t="shared" si="72"/>
        <v>0</v>
      </c>
      <c r="N44" s="16">
        <f t="shared" si="73"/>
        <v>0</v>
      </c>
      <c r="O44" s="16">
        <f t="shared" si="74"/>
        <v>0</v>
      </c>
      <c r="P44" s="16">
        <f t="shared" si="75"/>
        <v>0</v>
      </c>
      <c r="Q44" s="16">
        <f t="shared" si="76"/>
        <v>0</v>
      </c>
      <c r="R44" s="16">
        <f t="shared" si="77"/>
        <v>0</v>
      </c>
      <c r="S44" s="16">
        <f t="shared" si="78"/>
        <v>0</v>
      </c>
      <c r="T44" s="16">
        <f t="shared" si="79"/>
        <v>0</v>
      </c>
      <c r="U44" s="16">
        <f t="shared" si="80"/>
        <v>0</v>
      </c>
      <c r="V44" s="16">
        <f t="shared" si="81"/>
        <v>0</v>
      </c>
      <c r="W44" s="16">
        <f t="shared" si="82"/>
        <v>0</v>
      </c>
      <c r="X44" s="16">
        <f t="shared" si="83"/>
        <v>0</v>
      </c>
      <c r="Y44" s="16">
        <f t="shared" si="84"/>
        <v>0</v>
      </c>
      <c r="Z44" s="16">
        <f t="shared" si="85"/>
        <v>0</v>
      </c>
      <c r="AA44" s="16">
        <f t="shared" si="86"/>
        <v>0</v>
      </c>
      <c r="AB44" s="16">
        <f t="shared" si="87"/>
        <v>0</v>
      </c>
      <c r="AC44" s="16">
        <f t="shared" si="88"/>
        <v>0</v>
      </c>
      <c r="AD44" s="16">
        <f t="shared" si="89"/>
        <v>0</v>
      </c>
      <c r="AE44" s="16">
        <f t="shared" si="90"/>
        <v>0</v>
      </c>
      <c r="AF44" s="16">
        <f t="shared" si="91"/>
        <v>0</v>
      </c>
      <c r="AG44" s="16">
        <f t="shared" si="92"/>
        <v>0</v>
      </c>
      <c r="AH44" s="16">
        <f t="shared" si="93"/>
        <v>0</v>
      </c>
      <c r="AI44" s="16">
        <f t="shared" si="94"/>
        <v>0</v>
      </c>
      <c r="AJ44" s="16">
        <f t="shared" si="95"/>
        <v>0</v>
      </c>
      <c r="AK44" s="16"/>
      <c r="AL44" s="16"/>
      <c r="AM44" s="16">
        <f>IF(NOT(ISNUMBER('Registru mijloace fixe'!$R44)),0,MAX(0,MIN(((YEAR(LunaRef)-YEAR('Registru mijloace fixe'!$R44))*12+MONTH(LunaRef)-MONTH('Registru mijloace fixe'!$R44)+1)-1,IF(ISNUMBER('Registru mijloace fixe'!$N44),((YEAR('Registru mijloace fixe'!$N44)-YEAR('Registru mijloace fixe'!$R44))*12+MONTH('Registru mijloace fixe'!$N44)-MONTH('Registru mijloace fixe'!$R44)+1),9999),C44*12)))</f>
        <v>0</v>
      </c>
      <c r="AN44" s="27">
        <f>IF(NOT(ISNUMBER('Registru mijloace fixe'!$R44)),0,MAX(0,MIN(((YEAR(LunaRef)-YEAR('Registru mijloace fixe'!$R44))*12+MONTH(LunaRef)-MONTH('Registru mijloace fixe'!$R44)+1),IF(ISNUMBER('Registru mijloace fixe'!$N44),((YEAR('Registru mijloace fixe'!$N44)-YEAR('Registru mijloace fixe'!$R44))*12+MONTH('Registru mijloace fixe'!$N44)-MONTH('Registru mijloace fixe'!$R44)+1),9999),C44*12)))</f>
        <v>0</v>
      </c>
      <c r="AO44" s="16">
        <f t="shared" si="96"/>
        <v>0</v>
      </c>
      <c r="AP44" s="16">
        <f t="shared" si="97"/>
        <v>0</v>
      </c>
      <c r="AQ44" s="16">
        <f t="shared" si="98"/>
        <v>0</v>
      </c>
      <c r="AR44" s="16">
        <f t="shared" si="99"/>
        <v>0</v>
      </c>
      <c r="AS44" s="16">
        <f t="shared" si="100"/>
        <v>0</v>
      </c>
      <c r="AT44" s="16">
        <f t="shared" si="101"/>
        <v>0</v>
      </c>
      <c r="AU44" s="16">
        <f t="shared" si="102"/>
        <v>0</v>
      </c>
      <c r="AV44" s="16">
        <f t="shared" si="103"/>
        <v>0</v>
      </c>
      <c r="AW44" s="16">
        <f t="shared" si="104"/>
        <v>0</v>
      </c>
      <c r="AX44" s="16">
        <f t="shared" si="105"/>
        <v>0</v>
      </c>
      <c r="AY44" s="16">
        <f t="shared" si="106"/>
        <v>0</v>
      </c>
      <c r="AZ44" s="16">
        <f t="shared" si="107"/>
        <v>0</v>
      </c>
      <c r="BA44" s="16">
        <f t="shared" si="108"/>
        <v>0</v>
      </c>
      <c r="BB44" s="16">
        <f t="shared" si="109"/>
        <v>0</v>
      </c>
      <c r="BC44" s="16">
        <f t="shared" si="110"/>
        <v>0</v>
      </c>
      <c r="BD44" s="16">
        <f t="shared" si="111"/>
        <v>0</v>
      </c>
      <c r="BE44" s="16">
        <f t="shared" si="112"/>
        <v>0</v>
      </c>
      <c r="BF44" s="16">
        <f t="shared" si="113"/>
        <v>0</v>
      </c>
      <c r="BG44" s="16">
        <f t="shared" si="114"/>
        <v>0</v>
      </c>
      <c r="BH44" s="16">
        <f t="shared" si="115"/>
        <v>0</v>
      </c>
      <c r="BI44" s="16">
        <f t="shared" si="116"/>
        <v>0</v>
      </c>
      <c r="BJ44" s="16">
        <f t="shared" si="117"/>
        <v>0</v>
      </c>
      <c r="BK44" s="16">
        <f t="shared" si="118"/>
        <v>0</v>
      </c>
      <c r="BL44" s="16">
        <f t="shared" si="119"/>
        <v>0</v>
      </c>
      <c r="BM44" s="16">
        <f t="shared" si="120"/>
        <v>0</v>
      </c>
      <c r="BN44" s="16">
        <f t="shared" si="121"/>
        <v>0</v>
      </c>
      <c r="BO44" s="16">
        <f t="shared" si="122"/>
        <v>0</v>
      </c>
      <c r="BP44" s="16">
        <f t="shared" si="123"/>
        <v>0</v>
      </c>
      <c r="BQ44" s="16">
        <f t="shared" si="124"/>
        <v>0</v>
      </c>
      <c r="BR44" s="16">
        <f t="shared" si="125"/>
        <v>0</v>
      </c>
      <c r="BS44" s="16">
        <f t="shared" si="126"/>
        <v>0</v>
      </c>
      <c r="BT44" s="16">
        <f t="shared" si="127"/>
        <v>0</v>
      </c>
    </row>
    <row r="45" spans="2:72" x14ac:dyDescent="0.2">
      <c r="B45" s="16">
        <f>N('Registru mijloace fixe'!$I45)</f>
        <v>0</v>
      </c>
      <c r="C45" s="27">
        <f>N('Registru mijloace fixe'!$J45)</f>
        <v>0</v>
      </c>
      <c r="D45" s="16" t="str">
        <f>'Registru mijloace fixe'!$K45&amp;""</f>
        <v/>
      </c>
      <c r="E45" s="16">
        <f t="shared" si="64"/>
        <v>1.5</v>
      </c>
      <c r="F45" s="16">
        <f t="shared" si="65"/>
        <v>0.5</v>
      </c>
      <c r="G45" s="16">
        <f t="shared" si="66"/>
        <v>0</v>
      </c>
      <c r="H45" s="16">
        <f t="shared" si="67"/>
        <v>0</v>
      </c>
      <c r="I45" s="16">
        <f t="shared" si="68"/>
        <v>0</v>
      </c>
      <c r="J45" s="16">
        <f t="shared" si="69"/>
        <v>0</v>
      </c>
      <c r="K45" s="16">
        <f t="shared" si="70"/>
        <v>0</v>
      </c>
      <c r="L45" s="16">
        <f t="shared" si="71"/>
        <v>0</v>
      </c>
      <c r="M45" s="16">
        <f t="shared" si="72"/>
        <v>0</v>
      </c>
      <c r="N45" s="16">
        <f t="shared" si="73"/>
        <v>0</v>
      </c>
      <c r="O45" s="16">
        <f t="shared" si="74"/>
        <v>0</v>
      </c>
      <c r="P45" s="16">
        <f t="shared" si="75"/>
        <v>0</v>
      </c>
      <c r="Q45" s="16">
        <f t="shared" si="76"/>
        <v>0</v>
      </c>
      <c r="R45" s="16">
        <f t="shared" si="77"/>
        <v>0</v>
      </c>
      <c r="S45" s="16">
        <f t="shared" si="78"/>
        <v>0</v>
      </c>
      <c r="T45" s="16">
        <f t="shared" si="79"/>
        <v>0</v>
      </c>
      <c r="U45" s="16">
        <f t="shared" si="80"/>
        <v>0</v>
      </c>
      <c r="V45" s="16">
        <f t="shared" si="81"/>
        <v>0</v>
      </c>
      <c r="W45" s="16">
        <f t="shared" si="82"/>
        <v>0</v>
      </c>
      <c r="X45" s="16">
        <f t="shared" si="83"/>
        <v>0</v>
      </c>
      <c r="Y45" s="16">
        <f t="shared" si="84"/>
        <v>0</v>
      </c>
      <c r="Z45" s="16">
        <f t="shared" si="85"/>
        <v>0</v>
      </c>
      <c r="AA45" s="16">
        <f t="shared" si="86"/>
        <v>0</v>
      </c>
      <c r="AB45" s="16">
        <f t="shared" si="87"/>
        <v>0</v>
      </c>
      <c r="AC45" s="16">
        <f t="shared" si="88"/>
        <v>0</v>
      </c>
      <c r="AD45" s="16">
        <f t="shared" si="89"/>
        <v>0</v>
      </c>
      <c r="AE45" s="16">
        <f t="shared" si="90"/>
        <v>0</v>
      </c>
      <c r="AF45" s="16">
        <f t="shared" si="91"/>
        <v>0</v>
      </c>
      <c r="AG45" s="16">
        <f t="shared" si="92"/>
        <v>0</v>
      </c>
      <c r="AH45" s="16">
        <f t="shared" si="93"/>
        <v>0</v>
      </c>
      <c r="AI45" s="16">
        <f t="shared" si="94"/>
        <v>0</v>
      </c>
      <c r="AJ45" s="16">
        <f t="shared" si="95"/>
        <v>0</v>
      </c>
      <c r="AK45" s="16"/>
      <c r="AL45" s="16"/>
      <c r="AM45" s="16">
        <f>IF(NOT(ISNUMBER('Registru mijloace fixe'!$R45)),0,MAX(0,MIN(((YEAR(LunaRef)-YEAR('Registru mijloace fixe'!$R45))*12+MONTH(LunaRef)-MONTH('Registru mijloace fixe'!$R45)+1)-1,IF(ISNUMBER('Registru mijloace fixe'!$N45),((YEAR('Registru mijloace fixe'!$N45)-YEAR('Registru mijloace fixe'!$R45))*12+MONTH('Registru mijloace fixe'!$N45)-MONTH('Registru mijloace fixe'!$R45)+1),9999),C45*12)))</f>
        <v>0</v>
      </c>
      <c r="AN45" s="27">
        <f>IF(NOT(ISNUMBER('Registru mijloace fixe'!$R45)),0,MAX(0,MIN(((YEAR(LunaRef)-YEAR('Registru mijloace fixe'!$R45))*12+MONTH(LunaRef)-MONTH('Registru mijloace fixe'!$R45)+1),IF(ISNUMBER('Registru mijloace fixe'!$N45),((YEAR('Registru mijloace fixe'!$N45)-YEAR('Registru mijloace fixe'!$R45))*12+MONTH('Registru mijloace fixe'!$N45)-MONTH('Registru mijloace fixe'!$R45)+1),9999),C45*12)))</f>
        <v>0</v>
      </c>
      <c r="AO45" s="16">
        <f t="shared" si="96"/>
        <v>0</v>
      </c>
      <c r="AP45" s="16">
        <f t="shared" si="97"/>
        <v>0</v>
      </c>
      <c r="AQ45" s="16">
        <f t="shared" si="98"/>
        <v>0</v>
      </c>
      <c r="AR45" s="16">
        <f t="shared" si="99"/>
        <v>0</v>
      </c>
      <c r="AS45" s="16">
        <f t="shared" si="100"/>
        <v>0</v>
      </c>
      <c r="AT45" s="16">
        <f t="shared" si="101"/>
        <v>0</v>
      </c>
      <c r="AU45" s="16">
        <f t="shared" si="102"/>
        <v>0</v>
      </c>
      <c r="AV45" s="16">
        <f t="shared" si="103"/>
        <v>0</v>
      </c>
      <c r="AW45" s="16">
        <f t="shared" si="104"/>
        <v>0</v>
      </c>
      <c r="AX45" s="16">
        <f t="shared" si="105"/>
        <v>0</v>
      </c>
      <c r="AY45" s="16">
        <f t="shared" si="106"/>
        <v>0</v>
      </c>
      <c r="AZ45" s="16">
        <f t="shared" si="107"/>
        <v>0</v>
      </c>
      <c r="BA45" s="16">
        <f t="shared" si="108"/>
        <v>0</v>
      </c>
      <c r="BB45" s="16">
        <f t="shared" si="109"/>
        <v>0</v>
      </c>
      <c r="BC45" s="16">
        <f t="shared" si="110"/>
        <v>0</v>
      </c>
      <c r="BD45" s="16">
        <f t="shared" si="111"/>
        <v>0</v>
      </c>
      <c r="BE45" s="16">
        <f t="shared" si="112"/>
        <v>0</v>
      </c>
      <c r="BF45" s="16">
        <f t="shared" si="113"/>
        <v>0</v>
      </c>
      <c r="BG45" s="16">
        <f t="shared" si="114"/>
        <v>0</v>
      </c>
      <c r="BH45" s="16">
        <f t="shared" si="115"/>
        <v>0</v>
      </c>
      <c r="BI45" s="16">
        <f t="shared" si="116"/>
        <v>0</v>
      </c>
      <c r="BJ45" s="16">
        <f t="shared" si="117"/>
        <v>0</v>
      </c>
      <c r="BK45" s="16">
        <f t="shared" si="118"/>
        <v>0</v>
      </c>
      <c r="BL45" s="16">
        <f t="shared" si="119"/>
        <v>0</v>
      </c>
      <c r="BM45" s="16">
        <f t="shared" si="120"/>
        <v>0</v>
      </c>
      <c r="BN45" s="16">
        <f t="shared" si="121"/>
        <v>0</v>
      </c>
      <c r="BO45" s="16">
        <f t="shared" si="122"/>
        <v>0</v>
      </c>
      <c r="BP45" s="16">
        <f t="shared" si="123"/>
        <v>0</v>
      </c>
      <c r="BQ45" s="16">
        <f t="shared" si="124"/>
        <v>0</v>
      </c>
      <c r="BR45" s="16">
        <f t="shared" si="125"/>
        <v>0</v>
      </c>
      <c r="BS45" s="16">
        <f t="shared" si="126"/>
        <v>0</v>
      </c>
      <c r="BT45" s="16">
        <f t="shared" si="127"/>
        <v>0</v>
      </c>
    </row>
    <row r="46" spans="2:72" x14ac:dyDescent="0.2">
      <c r="B46" s="16">
        <f>N('Registru mijloace fixe'!$I46)</f>
        <v>0</v>
      </c>
      <c r="C46" s="27">
        <f>N('Registru mijloace fixe'!$J46)</f>
        <v>0</v>
      </c>
      <c r="D46" s="16" t="str">
        <f>'Registru mijloace fixe'!$K46&amp;""</f>
        <v/>
      </c>
      <c r="E46" s="16">
        <f t="shared" si="64"/>
        <v>1.5</v>
      </c>
      <c r="F46" s="16">
        <f t="shared" si="65"/>
        <v>0.5</v>
      </c>
      <c r="G46" s="16">
        <f t="shared" si="66"/>
        <v>0</v>
      </c>
      <c r="H46" s="16">
        <f t="shared" si="67"/>
        <v>0</v>
      </c>
      <c r="I46" s="16">
        <f t="shared" si="68"/>
        <v>0</v>
      </c>
      <c r="J46" s="16">
        <f t="shared" si="69"/>
        <v>0</v>
      </c>
      <c r="K46" s="16">
        <f t="shared" si="70"/>
        <v>0</v>
      </c>
      <c r="L46" s="16">
        <f t="shared" si="71"/>
        <v>0</v>
      </c>
      <c r="M46" s="16">
        <f t="shared" si="72"/>
        <v>0</v>
      </c>
      <c r="N46" s="16">
        <f t="shared" si="73"/>
        <v>0</v>
      </c>
      <c r="O46" s="16">
        <f t="shared" si="74"/>
        <v>0</v>
      </c>
      <c r="P46" s="16">
        <f t="shared" si="75"/>
        <v>0</v>
      </c>
      <c r="Q46" s="16">
        <f t="shared" si="76"/>
        <v>0</v>
      </c>
      <c r="R46" s="16">
        <f t="shared" si="77"/>
        <v>0</v>
      </c>
      <c r="S46" s="16">
        <f t="shared" si="78"/>
        <v>0</v>
      </c>
      <c r="T46" s="16">
        <f t="shared" si="79"/>
        <v>0</v>
      </c>
      <c r="U46" s="16">
        <f t="shared" si="80"/>
        <v>0</v>
      </c>
      <c r="V46" s="16">
        <f t="shared" si="81"/>
        <v>0</v>
      </c>
      <c r="W46" s="16">
        <f t="shared" si="82"/>
        <v>0</v>
      </c>
      <c r="X46" s="16">
        <f t="shared" si="83"/>
        <v>0</v>
      </c>
      <c r="Y46" s="16">
        <f t="shared" si="84"/>
        <v>0</v>
      </c>
      <c r="Z46" s="16">
        <f t="shared" si="85"/>
        <v>0</v>
      </c>
      <c r="AA46" s="16">
        <f t="shared" si="86"/>
        <v>0</v>
      </c>
      <c r="AB46" s="16">
        <f t="shared" si="87"/>
        <v>0</v>
      </c>
      <c r="AC46" s="16">
        <f t="shared" si="88"/>
        <v>0</v>
      </c>
      <c r="AD46" s="16">
        <f t="shared" si="89"/>
        <v>0</v>
      </c>
      <c r="AE46" s="16">
        <f t="shared" si="90"/>
        <v>0</v>
      </c>
      <c r="AF46" s="16">
        <f t="shared" si="91"/>
        <v>0</v>
      </c>
      <c r="AG46" s="16">
        <f t="shared" si="92"/>
        <v>0</v>
      </c>
      <c r="AH46" s="16">
        <f t="shared" si="93"/>
        <v>0</v>
      </c>
      <c r="AI46" s="16">
        <f t="shared" si="94"/>
        <v>0</v>
      </c>
      <c r="AJ46" s="16">
        <f t="shared" si="95"/>
        <v>0</v>
      </c>
      <c r="AK46" s="16"/>
      <c r="AL46" s="16"/>
      <c r="AM46" s="16">
        <f>IF(NOT(ISNUMBER('Registru mijloace fixe'!$R46)),0,MAX(0,MIN(((YEAR(LunaRef)-YEAR('Registru mijloace fixe'!$R46))*12+MONTH(LunaRef)-MONTH('Registru mijloace fixe'!$R46)+1)-1,IF(ISNUMBER('Registru mijloace fixe'!$N46),((YEAR('Registru mijloace fixe'!$N46)-YEAR('Registru mijloace fixe'!$R46))*12+MONTH('Registru mijloace fixe'!$N46)-MONTH('Registru mijloace fixe'!$R46)+1),9999),C46*12)))</f>
        <v>0</v>
      </c>
      <c r="AN46" s="27">
        <f>IF(NOT(ISNUMBER('Registru mijloace fixe'!$R46)),0,MAX(0,MIN(((YEAR(LunaRef)-YEAR('Registru mijloace fixe'!$R46))*12+MONTH(LunaRef)-MONTH('Registru mijloace fixe'!$R46)+1),IF(ISNUMBER('Registru mijloace fixe'!$N46),((YEAR('Registru mijloace fixe'!$N46)-YEAR('Registru mijloace fixe'!$R46))*12+MONTH('Registru mijloace fixe'!$N46)-MONTH('Registru mijloace fixe'!$R46)+1),9999),C46*12)))</f>
        <v>0</v>
      </c>
      <c r="AO46" s="16">
        <f t="shared" si="96"/>
        <v>0</v>
      </c>
      <c r="AP46" s="16">
        <f t="shared" si="97"/>
        <v>0</v>
      </c>
      <c r="AQ46" s="16">
        <f t="shared" si="98"/>
        <v>0</v>
      </c>
      <c r="AR46" s="16">
        <f t="shared" si="99"/>
        <v>0</v>
      </c>
      <c r="AS46" s="16">
        <f t="shared" si="100"/>
        <v>0</v>
      </c>
      <c r="AT46" s="16">
        <f t="shared" si="101"/>
        <v>0</v>
      </c>
      <c r="AU46" s="16">
        <f t="shared" si="102"/>
        <v>0</v>
      </c>
      <c r="AV46" s="16">
        <f t="shared" si="103"/>
        <v>0</v>
      </c>
      <c r="AW46" s="16">
        <f t="shared" si="104"/>
        <v>0</v>
      </c>
      <c r="AX46" s="16">
        <f t="shared" si="105"/>
        <v>0</v>
      </c>
      <c r="AY46" s="16">
        <f t="shared" si="106"/>
        <v>0</v>
      </c>
      <c r="AZ46" s="16">
        <f t="shared" si="107"/>
        <v>0</v>
      </c>
      <c r="BA46" s="16">
        <f t="shared" si="108"/>
        <v>0</v>
      </c>
      <c r="BB46" s="16">
        <f t="shared" si="109"/>
        <v>0</v>
      </c>
      <c r="BC46" s="16">
        <f t="shared" si="110"/>
        <v>0</v>
      </c>
      <c r="BD46" s="16">
        <f t="shared" si="111"/>
        <v>0</v>
      </c>
      <c r="BE46" s="16">
        <f t="shared" si="112"/>
        <v>0</v>
      </c>
      <c r="BF46" s="16">
        <f t="shared" si="113"/>
        <v>0</v>
      </c>
      <c r="BG46" s="16">
        <f t="shared" si="114"/>
        <v>0</v>
      </c>
      <c r="BH46" s="16">
        <f t="shared" si="115"/>
        <v>0</v>
      </c>
      <c r="BI46" s="16">
        <f t="shared" si="116"/>
        <v>0</v>
      </c>
      <c r="BJ46" s="16">
        <f t="shared" si="117"/>
        <v>0</v>
      </c>
      <c r="BK46" s="16">
        <f t="shared" si="118"/>
        <v>0</v>
      </c>
      <c r="BL46" s="16">
        <f t="shared" si="119"/>
        <v>0</v>
      </c>
      <c r="BM46" s="16">
        <f t="shared" si="120"/>
        <v>0</v>
      </c>
      <c r="BN46" s="16">
        <f t="shared" si="121"/>
        <v>0</v>
      </c>
      <c r="BO46" s="16">
        <f t="shared" si="122"/>
        <v>0</v>
      </c>
      <c r="BP46" s="16">
        <f t="shared" si="123"/>
        <v>0</v>
      </c>
      <c r="BQ46" s="16">
        <f t="shared" si="124"/>
        <v>0</v>
      </c>
      <c r="BR46" s="16">
        <f t="shared" si="125"/>
        <v>0</v>
      </c>
      <c r="BS46" s="16">
        <f t="shared" si="126"/>
        <v>0</v>
      </c>
      <c r="BT46" s="16">
        <f t="shared" si="127"/>
        <v>0</v>
      </c>
    </row>
    <row r="47" spans="2:72" x14ac:dyDescent="0.2">
      <c r="B47" s="16">
        <f>N('Registru mijloace fixe'!$I47)</f>
        <v>0</v>
      </c>
      <c r="C47" s="27">
        <f>N('Registru mijloace fixe'!$J47)</f>
        <v>0</v>
      </c>
      <c r="D47" s="16" t="str">
        <f>'Registru mijloace fixe'!$K47&amp;""</f>
        <v/>
      </c>
      <c r="E47" s="16">
        <f t="shared" si="64"/>
        <v>1.5</v>
      </c>
      <c r="F47" s="16">
        <f t="shared" si="65"/>
        <v>0.5</v>
      </c>
      <c r="G47" s="16">
        <f t="shared" si="66"/>
        <v>0</v>
      </c>
      <c r="H47" s="16">
        <f t="shared" si="67"/>
        <v>0</v>
      </c>
      <c r="I47" s="16">
        <f t="shared" si="68"/>
        <v>0</v>
      </c>
      <c r="J47" s="16">
        <f t="shared" si="69"/>
        <v>0</v>
      </c>
      <c r="K47" s="16">
        <f t="shared" si="70"/>
        <v>0</v>
      </c>
      <c r="L47" s="16">
        <f t="shared" si="71"/>
        <v>0</v>
      </c>
      <c r="M47" s="16">
        <f t="shared" si="72"/>
        <v>0</v>
      </c>
      <c r="N47" s="16">
        <f t="shared" si="73"/>
        <v>0</v>
      </c>
      <c r="O47" s="16">
        <f t="shared" si="74"/>
        <v>0</v>
      </c>
      <c r="P47" s="16">
        <f t="shared" si="75"/>
        <v>0</v>
      </c>
      <c r="Q47" s="16">
        <f t="shared" si="76"/>
        <v>0</v>
      </c>
      <c r="R47" s="16">
        <f t="shared" si="77"/>
        <v>0</v>
      </c>
      <c r="S47" s="16">
        <f t="shared" si="78"/>
        <v>0</v>
      </c>
      <c r="T47" s="16">
        <f t="shared" si="79"/>
        <v>0</v>
      </c>
      <c r="U47" s="16">
        <f t="shared" si="80"/>
        <v>0</v>
      </c>
      <c r="V47" s="16">
        <f t="shared" si="81"/>
        <v>0</v>
      </c>
      <c r="W47" s="16">
        <f t="shared" si="82"/>
        <v>0</v>
      </c>
      <c r="X47" s="16">
        <f t="shared" si="83"/>
        <v>0</v>
      </c>
      <c r="Y47" s="16">
        <f t="shared" si="84"/>
        <v>0</v>
      </c>
      <c r="Z47" s="16">
        <f t="shared" si="85"/>
        <v>0</v>
      </c>
      <c r="AA47" s="16">
        <f t="shared" si="86"/>
        <v>0</v>
      </c>
      <c r="AB47" s="16">
        <f t="shared" si="87"/>
        <v>0</v>
      </c>
      <c r="AC47" s="16">
        <f t="shared" si="88"/>
        <v>0</v>
      </c>
      <c r="AD47" s="16">
        <f t="shared" si="89"/>
        <v>0</v>
      </c>
      <c r="AE47" s="16">
        <f t="shared" si="90"/>
        <v>0</v>
      </c>
      <c r="AF47" s="16">
        <f t="shared" si="91"/>
        <v>0</v>
      </c>
      <c r="AG47" s="16">
        <f t="shared" si="92"/>
        <v>0</v>
      </c>
      <c r="AH47" s="16">
        <f t="shared" si="93"/>
        <v>0</v>
      </c>
      <c r="AI47" s="16">
        <f t="shared" si="94"/>
        <v>0</v>
      </c>
      <c r="AJ47" s="16">
        <f t="shared" si="95"/>
        <v>0</v>
      </c>
      <c r="AK47" s="16"/>
      <c r="AL47" s="16"/>
      <c r="AM47" s="16">
        <f>IF(NOT(ISNUMBER('Registru mijloace fixe'!$R47)),0,MAX(0,MIN(((YEAR(LunaRef)-YEAR('Registru mijloace fixe'!$R47))*12+MONTH(LunaRef)-MONTH('Registru mijloace fixe'!$R47)+1)-1,IF(ISNUMBER('Registru mijloace fixe'!$N47),((YEAR('Registru mijloace fixe'!$N47)-YEAR('Registru mijloace fixe'!$R47))*12+MONTH('Registru mijloace fixe'!$N47)-MONTH('Registru mijloace fixe'!$R47)+1),9999),C47*12)))</f>
        <v>0</v>
      </c>
      <c r="AN47" s="27">
        <f>IF(NOT(ISNUMBER('Registru mijloace fixe'!$R47)),0,MAX(0,MIN(((YEAR(LunaRef)-YEAR('Registru mijloace fixe'!$R47))*12+MONTH(LunaRef)-MONTH('Registru mijloace fixe'!$R47)+1),IF(ISNUMBER('Registru mijloace fixe'!$N47),((YEAR('Registru mijloace fixe'!$N47)-YEAR('Registru mijloace fixe'!$R47))*12+MONTH('Registru mijloace fixe'!$N47)-MONTH('Registru mijloace fixe'!$R47)+1),9999),C47*12)))</f>
        <v>0</v>
      </c>
      <c r="AO47" s="16">
        <f t="shared" si="96"/>
        <v>0</v>
      </c>
      <c r="AP47" s="16">
        <f t="shared" si="97"/>
        <v>0</v>
      </c>
      <c r="AQ47" s="16">
        <f t="shared" si="98"/>
        <v>0</v>
      </c>
      <c r="AR47" s="16">
        <f t="shared" si="99"/>
        <v>0</v>
      </c>
      <c r="AS47" s="16">
        <f t="shared" si="100"/>
        <v>0</v>
      </c>
      <c r="AT47" s="16">
        <f t="shared" si="101"/>
        <v>0</v>
      </c>
      <c r="AU47" s="16">
        <f t="shared" si="102"/>
        <v>0</v>
      </c>
      <c r="AV47" s="16">
        <f t="shared" si="103"/>
        <v>0</v>
      </c>
      <c r="AW47" s="16">
        <f t="shared" si="104"/>
        <v>0</v>
      </c>
      <c r="AX47" s="16">
        <f t="shared" si="105"/>
        <v>0</v>
      </c>
      <c r="AY47" s="16">
        <f t="shared" si="106"/>
        <v>0</v>
      </c>
      <c r="AZ47" s="16">
        <f t="shared" si="107"/>
        <v>0</v>
      </c>
      <c r="BA47" s="16">
        <f t="shared" si="108"/>
        <v>0</v>
      </c>
      <c r="BB47" s="16">
        <f t="shared" si="109"/>
        <v>0</v>
      </c>
      <c r="BC47" s="16">
        <f t="shared" si="110"/>
        <v>0</v>
      </c>
      <c r="BD47" s="16">
        <f t="shared" si="111"/>
        <v>0</v>
      </c>
      <c r="BE47" s="16">
        <f t="shared" si="112"/>
        <v>0</v>
      </c>
      <c r="BF47" s="16">
        <f t="shared" si="113"/>
        <v>0</v>
      </c>
      <c r="BG47" s="16">
        <f t="shared" si="114"/>
        <v>0</v>
      </c>
      <c r="BH47" s="16">
        <f t="shared" si="115"/>
        <v>0</v>
      </c>
      <c r="BI47" s="16">
        <f t="shared" si="116"/>
        <v>0</v>
      </c>
      <c r="BJ47" s="16">
        <f t="shared" si="117"/>
        <v>0</v>
      </c>
      <c r="BK47" s="16">
        <f t="shared" si="118"/>
        <v>0</v>
      </c>
      <c r="BL47" s="16">
        <f t="shared" si="119"/>
        <v>0</v>
      </c>
      <c r="BM47" s="16">
        <f t="shared" si="120"/>
        <v>0</v>
      </c>
      <c r="BN47" s="16">
        <f t="shared" si="121"/>
        <v>0</v>
      </c>
      <c r="BO47" s="16">
        <f t="shared" si="122"/>
        <v>0</v>
      </c>
      <c r="BP47" s="16">
        <f t="shared" si="123"/>
        <v>0</v>
      </c>
      <c r="BQ47" s="16">
        <f t="shared" si="124"/>
        <v>0</v>
      </c>
      <c r="BR47" s="16">
        <f t="shared" si="125"/>
        <v>0</v>
      </c>
      <c r="BS47" s="16">
        <f t="shared" si="126"/>
        <v>0</v>
      </c>
      <c r="BT47" s="16">
        <f t="shared" si="127"/>
        <v>0</v>
      </c>
    </row>
    <row r="48" spans="2:72" x14ac:dyDescent="0.2">
      <c r="B48" s="16">
        <f>N('Registru mijloace fixe'!$I48)</f>
        <v>0</v>
      </c>
      <c r="C48" s="27">
        <f>N('Registru mijloace fixe'!$J48)</f>
        <v>0</v>
      </c>
      <c r="D48" s="16" t="str">
        <f>'Registru mijloace fixe'!$K48&amp;""</f>
        <v/>
      </c>
      <c r="E48" s="16">
        <f t="shared" si="64"/>
        <v>1.5</v>
      </c>
      <c r="F48" s="16">
        <f t="shared" si="65"/>
        <v>0.5</v>
      </c>
      <c r="G48" s="16">
        <f t="shared" si="66"/>
        <v>0</v>
      </c>
      <c r="H48" s="16">
        <f t="shared" si="67"/>
        <v>0</v>
      </c>
      <c r="I48" s="16">
        <f t="shared" si="68"/>
        <v>0</v>
      </c>
      <c r="J48" s="16">
        <f t="shared" si="69"/>
        <v>0</v>
      </c>
      <c r="K48" s="16">
        <f t="shared" si="70"/>
        <v>0</v>
      </c>
      <c r="L48" s="16">
        <f t="shared" si="71"/>
        <v>0</v>
      </c>
      <c r="M48" s="16">
        <f t="shared" si="72"/>
        <v>0</v>
      </c>
      <c r="N48" s="16">
        <f t="shared" si="73"/>
        <v>0</v>
      </c>
      <c r="O48" s="16">
        <f t="shared" si="74"/>
        <v>0</v>
      </c>
      <c r="P48" s="16">
        <f t="shared" si="75"/>
        <v>0</v>
      </c>
      <c r="Q48" s="16">
        <f t="shared" si="76"/>
        <v>0</v>
      </c>
      <c r="R48" s="16">
        <f t="shared" si="77"/>
        <v>0</v>
      </c>
      <c r="S48" s="16">
        <f t="shared" si="78"/>
        <v>0</v>
      </c>
      <c r="T48" s="16">
        <f t="shared" si="79"/>
        <v>0</v>
      </c>
      <c r="U48" s="16">
        <f t="shared" si="80"/>
        <v>0</v>
      </c>
      <c r="V48" s="16">
        <f t="shared" si="81"/>
        <v>0</v>
      </c>
      <c r="W48" s="16">
        <f t="shared" si="82"/>
        <v>0</v>
      </c>
      <c r="X48" s="16">
        <f t="shared" si="83"/>
        <v>0</v>
      </c>
      <c r="Y48" s="16">
        <f t="shared" si="84"/>
        <v>0</v>
      </c>
      <c r="Z48" s="16">
        <f t="shared" si="85"/>
        <v>0</v>
      </c>
      <c r="AA48" s="16">
        <f t="shared" si="86"/>
        <v>0</v>
      </c>
      <c r="AB48" s="16">
        <f t="shared" si="87"/>
        <v>0</v>
      </c>
      <c r="AC48" s="16">
        <f t="shared" si="88"/>
        <v>0</v>
      </c>
      <c r="AD48" s="16">
        <f t="shared" si="89"/>
        <v>0</v>
      </c>
      <c r="AE48" s="16">
        <f t="shared" si="90"/>
        <v>0</v>
      </c>
      <c r="AF48" s="16">
        <f t="shared" si="91"/>
        <v>0</v>
      </c>
      <c r="AG48" s="16">
        <f t="shared" si="92"/>
        <v>0</v>
      </c>
      <c r="AH48" s="16">
        <f t="shared" si="93"/>
        <v>0</v>
      </c>
      <c r="AI48" s="16">
        <f t="shared" si="94"/>
        <v>0</v>
      </c>
      <c r="AJ48" s="16">
        <f t="shared" si="95"/>
        <v>0</v>
      </c>
      <c r="AK48" s="16"/>
      <c r="AL48" s="16"/>
      <c r="AM48" s="16">
        <f>IF(NOT(ISNUMBER('Registru mijloace fixe'!$R48)),0,MAX(0,MIN(((YEAR(LunaRef)-YEAR('Registru mijloace fixe'!$R48))*12+MONTH(LunaRef)-MONTH('Registru mijloace fixe'!$R48)+1)-1,IF(ISNUMBER('Registru mijloace fixe'!$N48),((YEAR('Registru mijloace fixe'!$N48)-YEAR('Registru mijloace fixe'!$R48))*12+MONTH('Registru mijloace fixe'!$N48)-MONTH('Registru mijloace fixe'!$R48)+1),9999),C48*12)))</f>
        <v>0</v>
      </c>
      <c r="AN48" s="27">
        <f>IF(NOT(ISNUMBER('Registru mijloace fixe'!$R48)),0,MAX(0,MIN(((YEAR(LunaRef)-YEAR('Registru mijloace fixe'!$R48))*12+MONTH(LunaRef)-MONTH('Registru mijloace fixe'!$R48)+1),IF(ISNUMBER('Registru mijloace fixe'!$N48),((YEAR('Registru mijloace fixe'!$N48)-YEAR('Registru mijloace fixe'!$R48))*12+MONTH('Registru mijloace fixe'!$N48)-MONTH('Registru mijloace fixe'!$R48)+1),9999),C48*12)))</f>
        <v>0</v>
      </c>
      <c r="AO48" s="16">
        <f t="shared" si="96"/>
        <v>0</v>
      </c>
      <c r="AP48" s="16">
        <f t="shared" si="97"/>
        <v>0</v>
      </c>
      <c r="AQ48" s="16">
        <f t="shared" si="98"/>
        <v>0</v>
      </c>
      <c r="AR48" s="16">
        <f t="shared" si="99"/>
        <v>0</v>
      </c>
      <c r="AS48" s="16">
        <f t="shared" si="100"/>
        <v>0</v>
      </c>
      <c r="AT48" s="16">
        <f t="shared" si="101"/>
        <v>0</v>
      </c>
      <c r="AU48" s="16">
        <f t="shared" si="102"/>
        <v>0</v>
      </c>
      <c r="AV48" s="16">
        <f t="shared" si="103"/>
        <v>0</v>
      </c>
      <c r="AW48" s="16">
        <f t="shared" si="104"/>
        <v>0</v>
      </c>
      <c r="AX48" s="16">
        <f t="shared" si="105"/>
        <v>0</v>
      </c>
      <c r="AY48" s="16">
        <f t="shared" si="106"/>
        <v>0</v>
      </c>
      <c r="AZ48" s="16">
        <f t="shared" si="107"/>
        <v>0</v>
      </c>
      <c r="BA48" s="16">
        <f t="shared" si="108"/>
        <v>0</v>
      </c>
      <c r="BB48" s="16">
        <f t="shared" si="109"/>
        <v>0</v>
      </c>
      <c r="BC48" s="16">
        <f t="shared" si="110"/>
        <v>0</v>
      </c>
      <c r="BD48" s="16">
        <f t="shared" si="111"/>
        <v>0</v>
      </c>
      <c r="BE48" s="16">
        <f t="shared" si="112"/>
        <v>0</v>
      </c>
      <c r="BF48" s="16">
        <f t="shared" si="113"/>
        <v>0</v>
      </c>
      <c r="BG48" s="16">
        <f t="shared" si="114"/>
        <v>0</v>
      </c>
      <c r="BH48" s="16">
        <f t="shared" si="115"/>
        <v>0</v>
      </c>
      <c r="BI48" s="16">
        <f t="shared" si="116"/>
        <v>0</v>
      </c>
      <c r="BJ48" s="16">
        <f t="shared" si="117"/>
        <v>0</v>
      </c>
      <c r="BK48" s="16">
        <f t="shared" si="118"/>
        <v>0</v>
      </c>
      <c r="BL48" s="16">
        <f t="shared" si="119"/>
        <v>0</v>
      </c>
      <c r="BM48" s="16">
        <f t="shared" si="120"/>
        <v>0</v>
      </c>
      <c r="BN48" s="16">
        <f t="shared" si="121"/>
        <v>0</v>
      </c>
      <c r="BO48" s="16">
        <f t="shared" si="122"/>
        <v>0</v>
      </c>
      <c r="BP48" s="16">
        <f t="shared" si="123"/>
        <v>0</v>
      </c>
      <c r="BQ48" s="16">
        <f t="shared" si="124"/>
        <v>0</v>
      </c>
      <c r="BR48" s="16">
        <f t="shared" si="125"/>
        <v>0</v>
      </c>
      <c r="BS48" s="16">
        <f t="shared" si="126"/>
        <v>0</v>
      </c>
      <c r="BT48" s="16">
        <f t="shared" si="127"/>
        <v>0</v>
      </c>
    </row>
    <row r="49" spans="2:72" x14ac:dyDescent="0.2">
      <c r="B49" s="16">
        <f>N('Registru mijloace fixe'!$I49)</f>
        <v>0</v>
      </c>
      <c r="C49" s="27">
        <f>N('Registru mijloace fixe'!$J49)</f>
        <v>0</v>
      </c>
      <c r="D49" s="16" t="str">
        <f>'Registru mijloace fixe'!$K49&amp;""</f>
        <v/>
      </c>
      <c r="E49" s="16">
        <f t="shared" si="64"/>
        <v>1.5</v>
      </c>
      <c r="F49" s="16">
        <f t="shared" si="65"/>
        <v>0.5</v>
      </c>
      <c r="G49" s="16">
        <f t="shared" si="66"/>
        <v>0</v>
      </c>
      <c r="H49" s="16">
        <f t="shared" si="67"/>
        <v>0</v>
      </c>
      <c r="I49" s="16">
        <f t="shared" si="68"/>
        <v>0</v>
      </c>
      <c r="J49" s="16">
        <f t="shared" si="69"/>
        <v>0</v>
      </c>
      <c r="K49" s="16">
        <f t="shared" si="70"/>
        <v>0</v>
      </c>
      <c r="L49" s="16">
        <f t="shared" si="71"/>
        <v>0</v>
      </c>
      <c r="M49" s="16">
        <f t="shared" si="72"/>
        <v>0</v>
      </c>
      <c r="N49" s="16">
        <f t="shared" si="73"/>
        <v>0</v>
      </c>
      <c r="O49" s="16">
        <f t="shared" si="74"/>
        <v>0</v>
      </c>
      <c r="P49" s="16">
        <f t="shared" si="75"/>
        <v>0</v>
      </c>
      <c r="Q49" s="16">
        <f t="shared" si="76"/>
        <v>0</v>
      </c>
      <c r="R49" s="16">
        <f t="shared" si="77"/>
        <v>0</v>
      </c>
      <c r="S49" s="16">
        <f t="shared" si="78"/>
        <v>0</v>
      </c>
      <c r="T49" s="16">
        <f t="shared" si="79"/>
        <v>0</v>
      </c>
      <c r="U49" s="16">
        <f t="shared" si="80"/>
        <v>0</v>
      </c>
      <c r="V49" s="16">
        <f t="shared" si="81"/>
        <v>0</v>
      </c>
      <c r="W49" s="16">
        <f t="shared" si="82"/>
        <v>0</v>
      </c>
      <c r="X49" s="16">
        <f t="shared" si="83"/>
        <v>0</v>
      </c>
      <c r="Y49" s="16">
        <f t="shared" si="84"/>
        <v>0</v>
      </c>
      <c r="Z49" s="16">
        <f t="shared" si="85"/>
        <v>0</v>
      </c>
      <c r="AA49" s="16">
        <f t="shared" si="86"/>
        <v>0</v>
      </c>
      <c r="AB49" s="16">
        <f t="shared" si="87"/>
        <v>0</v>
      </c>
      <c r="AC49" s="16">
        <f t="shared" si="88"/>
        <v>0</v>
      </c>
      <c r="AD49" s="16">
        <f t="shared" si="89"/>
        <v>0</v>
      </c>
      <c r="AE49" s="16">
        <f t="shared" si="90"/>
        <v>0</v>
      </c>
      <c r="AF49" s="16">
        <f t="shared" si="91"/>
        <v>0</v>
      </c>
      <c r="AG49" s="16">
        <f t="shared" si="92"/>
        <v>0</v>
      </c>
      <c r="AH49" s="16">
        <f t="shared" si="93"/>
        <v>0</v>
      </c>
      <c r="AI49" s="16">
        <f t="shared" si="94"/>
        <v>0</v>
      </c>
      <c r="AJ49" s="16">
        <f t="shared" si="95"/>
        <v>0</v>
      </c>
      <c r="AK49" s="16"/>
      <c r="AL49" s="16"/>
      <c r="AM49" s="16">
        <f>IF(NOT(ISNUMBER('Registru mijloace fixe'!$R49)),0,MAX(0,MIN(((YEAR(LunaRef)-YEAR('Registru mijloace fixe'!$R49))*12+MONTH(LunaRef)-MONTH('Registru mijloace fixe'!$R49)+1)-1,IF(ISNUMBER('Registru mijloace fixe'!$N49),((YEAR('Registru mijloace fixe'!$N49)-YEAR('Registru mijloace fixe'!$R49))*12+MONTH('Registru mijloace fixe'!$N49)-MONTH('Registru mijloace fixe'!$R49)+1),9999),C49*12)))</f>
        <v>0</v>
      </c>
      <c r="AN49" s="27">
        <f>IF(NOT(ISNUMBER('Registru mijloace fixe'!$R49)),0,MAX(0,MIN(((YEAR(LunaRef)-YEAR('Registru mijloace fixe'!$R49))*12+MONTH(LunaRef)-MONTH('Registru mijloace fixe'!$R49)+1),IF(ISNUMBER('Registru mijloace fixe'!$N49),((YEAR('Registru mijloace fixe'!$N49)-YEAR('Registru mijloace fixe'!$R49))*12+MONTH('Registru mijloace fixe'!$N49)-MONTH('Registru mijloace fixe'!$R49)+1),9999),C49*12)))</f>
        <v>0</v>
      </c>
      <c r="AO49" s="16">
        <f t="shared" si="96"/>
        <v>0</v>
      </c>
      <c r="AP49" s="16">
        <f t="shared" si="97"/>
        <v>0</v>
      </c>
      <c r="AQ49" s="16">
        <f t="shared" si="98"/>
        <v>0</v>
      </c>
      <c r="AR49" s="16">
        <f t="shared" si="99"/>
        <v>0</v>
      </c>
      <c r="AS49" s="16">
        <f t="shared" si="100"/>
        <v>0</v>
      </c>
      <c r="AT49" s="16">
        <f t="shared" si="101"/>
        <v>0</v>
      </c>
      <c r="AU49" s="16">
        <f t="shared" si="102"/>
        <v>0</v>
      </c>
      <c r="AV49" s="16">
        <f t="shared" si="103"/>
        <v>0</v>
      </c>
      <c r="AW49" s="16">
        <f t="shared" si="104"/>
        <v>0</v>
      </c>
      <c r="AX49" s="16">
        <f t="shared" si="105"/>
        <v>0</v>
      </c>
      <c r="AY49" s="16">
        <f t="shared" si="106"/>
        <v>0</v>
      </c>
      <c r="AZ49" s="16">
        <f t="shared" si="107"/>
        <v>0</v>
      </c>
      <c r="BA49" s="16">
        <f t="shared" si="108"/>
        <v>0</v>
      </c>
      <c r="BB49" s="16">
        <f t="shared" si="109"/>
        <v>0</v>
      </c>
      <c r="BC49" s="16">
        <f t="shared" si="110"/>
        <v>0</v>
      </c>
      <c r="BD49" s="16">
        <f t="shared" si="111"/>
        <v>0</v>
      </c>
      <c r="BE49" s="16">
        <f t="shared" si="112"/>
        <v>0</v>
      </c>
      <c r="BF49" s="16">
        <f t="shared" si="113"/>
        <v>0</v>
      </c>
      <c r="BG49" s="16">
        <f t="shared" si="114"/>
        <v>0</v>
      </c>
      <c r="BH49" s="16">
        <f t="shared" si="115"/>
        <v>0</v>
      </c>
      <c r="BI49" s="16">
        <f t="shared" si="116"/>
        <v>0</v>
      </c>
      <c r="BJ49" s="16">
        <f t="shared" si="117"/>
        <v>0</v>
      </c>
      <c r="BK49" s="16">
        <f t="shared" si="118"/>
        <v>0</v>
      </c>
      <c r="BL49" s="16">
        <f t="shared" si="119"/>
        <v>0</v>
      </c>
      <c r="BM49" s="16">
        <f t="shared" si="120"/>
        <v>0</v>
      </c>
      <c r="BN49" s="16">
        <f t="shared" si="121"/>
        <v>0</v>
      </c>
      <c r="BO49" s="16">
        <f t="shared" si="122"/>
        <v>0</v>
      </c>
      <c r="BP49" s="16">
        <f t="shared" si="123"/>
        <v>0</v>
      </c>
      <c r="BQ49" s="16">
        <f t="shared" si="124"/>
        <v>0</v>
      </c>
      <c r="BR49" s="16">
        <f t="shared" si="125"/>
        <v>0</v>
      </c>
      <c r="BS49" s="16">
        <f t="shared" si="126"/>
        <v>0</v>
      </c>
      <c r="BT49" s="16">
        <f t="shared" si="127"/>
        <v>0</v>
      </c>
    </row>
    <row r="50" spans="2:72" x14ac:dyDescent="0.2">
      <c r="B50" s="16">
        <f>N('Registru mijloace fixe'!$I50)</f>
        <v>0</v>
      </c>
      <c r="C50" s="27">
        <f>N('Registru mijloace fixe'!$J50)</f>
        <v>0</v>
      </c>
      <c r="D50" s="16" t="str">
        <f>'Registru mijloace fixe'!$K50&amp;""</f>
        <v/>
      </c>
      <c r="E50" s="16">
        <f t="shared" si="64"/>
        <v>1.5</v>
      </c>
      <c r="F50" s="16">
        <f t="shared" si="65"/>
        <v>0.5</v>
      </c>
      <c r="G50" s="16">
        <f t="shared" si="66"/>
        <v>0</v>
      </c>
      <c r="H50" s="16">
        <f t="shared" si="67"/>
        <v>0</v>
      </c>
      <c r="I50" s="16">
        <f t="shared" si="68"/>
        <v>0</v>
      </c>
      <c r="J50" s="16">
        <f t="shared" si="69"/>
        <v>0</v>
      </c>
      <c r="K50" s="16">
        <f t="shared" si="70"/>
        <v>0</v>
      </c>
      <c r="L50" s="16">
        <f t="shared" si="71"/>
        <v>0</v>
      </c>
      <c r="M50" s="16">
        <f t="shared" si="72"/>
        <v>0</v>
      </c>
      <c r="N50" s="16">
        <f t="shared" si="73"/>
        <v>0</v>
      </c>
      <c r="O50" s="16">
        <f t="shared" si="74"/>
        <v>0</v>
      </c>
      <c r="P50" s="16">
        <f t="shared" si="75"/>
        <v>0</v>
      </c>
      <c r="Q50" s="16">
        <f t="shared" si="76"/>
        <v>0</v>
      </c>
      <c r="R50" s="16">
        <f t="shared" si="77"/>
        <v>0</v>
      </c>
      <c r="S50" s="16">
        <f t="shared" si="78"/>
        <v>0</v>
      </c>
      <c r="T50" s="16">
        <f t="shared" si="79"/>
        <v>0</v>
      </c>
      <c r="U50" s="16">
        <f t="shared" si="80"/>
        <v>0</v>
      </c>
      <c r="V50" s="16">
        <f t="shared" si="81"/>
        <v>0</v>
      </c>
      <c r="W50" s="16">
        <f t="shared" si="82"/>
        <v>0</v>
      </c>
      <c r="X50" s="16">
        <f t="shared" si="83"/>
        <v>0</v>
      </c>
      <c r="Y50" s="16">
        <f t="shared" si="84"/>
        <v>0</v>
      </c>
      <c r="Z50" s="16">
        <f t="shared" si="85"/>
        <v>0</v>
      </c>
      <c r="AA50" s="16">
        <f t="shared" si="86"/>
        <v>0</v>
      </c>
      <c r="AB50" s="16">
        <f t="shared" si="87"/>
        <v>0</v>
      </c>
      <c r="AC50" s="16">
        <f t="shared" si="88"/>
        <v>0</v>
      </c>
      <c r="AD50" s="16">
        <f t="shared" si="89"/>
        <v>0</v>
      </c>
      <c r="AE50" s="16">
        <f t="shared" si="90"/>
        <v>0</v>
      </c>
      <c r="AF50" s="16">
        <f t="shared" si="91"/>
        <v>0</v>
      </c>
      <c r="AG50" s="16">
        <f t="shared" si="92"/>
        <v>0</v>
      </c>
      <c r="AH50" s="16">
        <f t="shared" si="93"/>
        <v>0</v>
      </c>
      <c r="AI50" s="16">
        <f t="shared" si="94"/>
        <v>0</v>
      </c>
      <c r="AJ50" s="16">
        <f t="shared" si="95"/>
        <v>0</v>
      </c>
      <c r="AK50" s="16"/>
      <c r="AL50" s="16"/>
      <c r="AM50" s="16">
        <f>IF(NOT(ISNUMBER('Registru mijloace fixe'!$R50)),0,MAX(0,MIN(((YEAR(LunaRef)-YEAR('Registru mijloace fixe'!$R50))*12+MONTH(LunaRef)-MONTH('Registru mijloace fixe'!$R50)+1)-1,IF(ISNUMBER('Registru mijloace fixe'!$N50),((YEAR('Registru mijloace fixe'!$N50)-YEAR('Registru mijloace fixe'!$R50))*12+MONTH('Registru mijloace fixe'!$N50)-MONTH('Registru mijloace fixe'!$R50)+1),9999),C50*12)))</f>
        <v>0</v>
      </c>
      <c r="AN50" s="27">
        <f>IF(NOT(ISNUMBER('Registru mijloace fixe'!$R50)),0,MAX(0,MIN(((YEAR(LunaRef)-YEAR('Registru mijloace fixe'!$R50))*12+MONTH(LunaRef)-MONTH('Registru mijloace fixe'!$R50)+1),IF(ISNUMBER('Registru mijloace fixe'!$N50),((YEAR('Registru mijloace fixe'!$N50)-YEAR('Registru mijloace fixe'!$R50))*12+MONTH('Registru mijloace fixe'!$N50)-MONTH('Registru mijloace fixe'!$R50)+1),9999),C50*12)))</f>
        <v>0</v>
      </c>
      <c r="AO50" s="16">
        <f t="shared" si="96"/>
        <v>0</v>
      </c>
      <c r="AP50" s="16">
        <f t="shared" si="97"/>
        <v>0</v>
      </c>
      <c r="AQ50" s="16">
        <f t="shared" si="98"/>
        <v>0</v>
      </c>
      <c r="AR50" s="16">
        <f t="shared" si="99"/>
        <v>0</v>
      </c>
      <c r="AS50" s="16">
        <f t="shared" si="100"/>
        <v>0</v>
      </c>
      <c r="AT50" s="16">
        <f t="shared" si="101"/>
        <v>0</v>
      </c>
      <c r="AU50" s="16">
        <f t="shared" si="102"/>
        <v>0</v>
      </c>
      <c r="AV50" s="16">
        <f t="shared" si="103"/>
        <v>0</v>
      </c>
      <c r="AW50" s="16">
        <f t="shared" si="104"/>
        <v>0</v>
      </c>
      <c r="AX50" s="16">
        <f t="shared" si="105"/>
        <v>0</v>
      </c>
      <c r="AY50" s="16">
        <f t="shared" si="106"/>
        <v>0</v>
      </c>
      <c r="AZ50" s="16">
        <f t="shared" si="107"/>
        <v>0</v>
      </c>
      <c r="BA50" s="16">
        <f t="shared" si="108"/>
        <v>0</v>
      </c>
      <c r="BB50" s="16">
        <f t="shared" si="109"/>
        <v>0</v>
      </c>
      <c r="BC50" s="16">
        <f t="shared" si="110"/>
        <v>0</v>
      </c>
      <c r="BD50" s="16">
        <f t="shared" si="111"/>
        <v>0</v>
      </c>
      <c r="BE50" s="16">
        <f t="shared" si="112"/>
        <v>0</v>
      </c>
      <c r="BF50" s="16">
        <f t="shared" si="113"/>
        <v>0</v>
      </c>
      <c r="BG50" s="16">
        <f t="shared" si="114"/>
        <v>0</v>
      </c>
      <c r="BH50" s="16">
        <f t="shared" si="115"/>
        <v>0</v>
      </c>
      <c r="BI50" s="16">
        <f t="shared" si="116"/>
        <v>0</v>
      </c>
      <c r="BJ50" s="16">
        <f t="shared" si="117"/>
        <v>0</v>
      </c>
      <c r="BK50" s="16">
        <f t="shared" si="118"/>
        <v>0</v>
      </c>
      <c r="BL50" s="16">
        <f t="shared" si="119"/>
        <v>0</v>
      </c>
      <c r="BM50" s="16">
        <f t="shared" si="120"/>
        <v>0</v>
      </c>
      <c r="BN50" s="16">
        <f t="shared" si="121"/>
        <v>0</v>
      </c>
      <c r="BO50" s="16">
        <f t="shared" si="122"/>
        <v>0</v>
      </c>
      <c r="BP50" s="16">
        <f t="shared" si="123"/>
        <v>0</v>
      </c>
      <c r="BQ50" s="16">
        <f t="shared" si="124"/>
        <v>0</v>
      </c>
      <c r="BR50" s="16">
        <f t="shared" si="125"/>
        <v>0</v>
      </c>
      <c r="BS50" s="16">
        <f t="shared" si="126"/>
        <v>0</v>
      </c>
      <c r="BT50" s="16">
        <f t="shared" si="127"/>
        <v>0</v>
      </c>
    </row>
    <row r="51" spans="2:72" x14ac:dyDescent="0.2">
      <c r="B51" s="16">
        <f>N('Registru mijloace fixe'!$I51)</f>
        <v>0</v>
      </c>
      <c r="C51" s="27">
        <f>N('Registru mijloace fixe'!$J51)</f>
        <v>0</v>
      </c>
      <c r="D51" s="16" t="str">
        <f>'Registru mijloace fixe'!$K51&amp;""</f>
        <v/>
      </c>
      <c r="E51" s="16">
        <f t="shared" si="64"/>
        <v>1.5</v>
      </c>
      <c r="F51" s="16">
        <f t="shared" si="65"/>
        <v>0.5</v>
      </c>
      <c r="G51" s="16">
        <f t="shared" si="66"/>
        <v>0</v>
      </c>
      <c r="H51" s="16">
        <f t="shared" si="67"/>
        <v>0</v>
      </c>
      <c r="I51" s="16">
        <f t="shared" si="68"/>
        <v>0</v>
      </c>
      <c r="J51" s="16">
        <f t="shared" si="69"/>
        <v>0</v>
      </c>
      <c r="K51" s="16">
        <f t="shared" si="70"/>
        <v>0</v>
      </c>
      <c r="L51" s="16">
        <f t="shared" si="71"/>
        <v>0</v>
      </c>
      <c r="M51" s="16">
        <f t="shared" si="72"/>
        <v>0</v>
      </c>
      <c r="N51" s="16">
        <f t="shared" si="73"/>
        <v>0</v>
      </c>
      <c r="O51" s="16">
        <f t="shared" si="74"/>
        <v>0</v>
      </c>
      <c r="P51" s="16">
        <f t="shared" si="75"/>
        <v>0</v>
      </c>
      <c r="Q51" s="16">
        <f t="shared" si="76"/>
        <v>0</v>
      </c>
      <c r="R51" s="16">
        <f t="shared" si="77"/>
        <v>0</v>
      </c>
      <c r="S51" s="16">
        <f t="shared" si="78"/>
        <v>0</v>
      </c>
      <c r="T51" s="16">
        <f t="shared" si="79"/>
        <v>0</v>
      </c>
      <c r="U51" s="16">
        <f t="shared" si="80"/>
        <v>0</v>
      </c>
      <c r="V51" s="16">
        <f t="shared" si="81"/>
        <v>0</v>
      </c>
      <c r="W51" s="16">
        <f t="shared" si="82"/>
        <v>0</v>
      </c>
      <c r="X51" s="16">
        <f t="shared" si="83"/>
        <v>0</v>
      </c>
      <c r="Y51" s="16">
        <f t="shared" si="84"/>
        <v>0</v>
      </c>
      <c r="Z51" s="16">
        <f t="shared" si="85"/>
        <v>0</v>
      </c>
      <c r="AA51" s="16">
        <f t="shared" si="86"/>
        <v>0</v>
      </c>
      <c r="AB51" s="16">
        <f t="shared" si="87"/>
        <v>0</v>
      </c>
      <c r="AC51" s="16">
        <f t="shared" si="88"/>
        <v>0</v>
      </c>
      <c r="AD51" s="16">
        <f t="shared" si="89"/>
        <v>0</v>
      </c>
      <c r="AE51" s="16">
        <f t="shared" si="90"/>
        <v>0</v>
      </c>
      <c r="AF51" s="16">
        <f t="shared" si="91"/>
        <v>0</v>
      </c>
      <c r="AG51" s="16">
        <f t="shared" si="92"/>
        <v>0</v>
      </c>
      <c r="AH51" s="16">
        <f t="shared" si="93"/>
        <v>0</v>
      </c>
      <c r="AI51" s="16">
        <f t="shared" si="94"/>
        <v>0</v>
      </c>
      <c r="AJ51" s="16">
        <f t="shared" si="95"/>
        <v>0</v>
      </c>
      <c r="AK51" s="16"/>
      <c r="AL51" s="16"/>
      <c r="AM51" s="16">
        <f>IF(NOT(ISNUMBER('Registru mijloace fixe'!$R51)),0,MAX(0,MIN(((YEAR(LunaRef)-YEAR('Registru mijloace fixe'!$R51))*12+MONTH(LunaRef)-MONTH('Registru mijloace fixe'!$R51)+1)-1,IF(ISNUMBER('Registru mijloace fixe'!$N51),((YEAR('Registru mijloace fixe'!$N51)-YEAR('Registru mijloace fixe'!$R51))*12+MONTH('Registru mijloace fixe'!$N51)-MONTH('Registru mijloace fixe'!$R51)+1),9999),C51*12)))</f>
        <v>0</v>
      </c>
      <c r="AN51" s="27">
        <f>IF(NOT(ISNUMBER('Registru mijloace fixe'!$R51)),0,MAX(0,MIN(((YEAR(LunaRef)-YEAR('Registru mijloace fixe'!$R51))*12+MONTH(LunaRef)-MONTH('Registru mijloace fixe'!$R51)+1),IF(ISNUMBER('Registru mijloace fixe'!$N51),((YEAR('Registru mijloace fixe'!$N51)-YEAR('Registru mijloace fixe'!$R51))*12+MONTH('Registru mijloace fixe'!$N51)-MONTH('Registru mijloace fixe'!$R51)+1),9999),C51*12)))</f>
        <v>0</v>
      </c>
      <c r="AO51" s="16">
        <f t="shared" si="96"/>
        <v>0</v>
      </c>
      <c r="AP51" s="16">
        <f t="shared" si="97"/>
        <v>0</v>
      </c>
      <c r="AQ51" s="16">
        <f t="shared" si="98"/>
        <v>0</v>
      </c>
      <c r="AR51" s="16">
        <f t="shared" si="99"/>
        <v>0</v>
      </c>
      <c r="AS51" s="16">
        <f t="shared" si="100"/>
        <v>0</v>
      </c>
      <c r="AT51" s="16">
        <f t="shared" si="101"/>
        <v>0</v>
      </c>
      <c r="AU51" s="16">
        <f t="shared" si="102"/>
        <v>0</v>
      </c>
      <c r="AV51" s="16">
        <f t="shared" si="103"/>
        <v>0</v>
      </c>
      <c r="AW51" s="16">
        <f t="shared" si="104"/>
        <v>0</v>
      </c>
      <c r="AX51" s="16">
        <f t="shared" si="105"/>
        <v>0</v>
      </c>
      <c r="AY51" s="16">
        <f t="shared" si="106"/>
        <v>0</v>
      </c>
      <c r="AZ51" s="16">
        <f t="shared" si="107"/>
        <v>0</v>
      </c>
      <c r="BA51" s="16">
        <f t="shared" si="108"/>
        <v>0</v>
      </c>
      <c r="BB51" s="16">
        <f t="shared" si="109"/>
        <v>0</v>
      </c>
      <c r="BC51" s="16">
        <f t="shared" si="110"/>
        <v>0</v>
      </c>
      <c r="BD51" s="16">
        <f t="shared" si="111"/>
        <v>0</v>
      </c>
      <c r="BE51" s="16">
        <f t="shared" si="112"/>
        <v>0</v>
      </c>
      <c r="BF51" s="16">
        <f t="shared" si="113"/>
        <v>0</v>
      </c>
      <c r="BG51" s="16">
        <f t="shared" si="114"/>
        <v>0</v>
      </c>
      <c r="BH51" s="16">
        <f t="shared" si="115"/>
        <v>0</v>
      </c>
      <c r="BI51" s="16">
        <f t="shared" si="116"/>
        <v>0</v>
      </c>
      <c r="BJ51" s="16">
        <f t="shared" si="117"/>
        <v>0</v>
      </c>
      <c r="BK51" s="16">
        <f t="shared" si="118"/>
        <v>0</v>
      </c>
      <c r="BL51" s="16">
        <f t="shared" si="119"/>
        <v>0</v>
      </c>
      <c r="BM51" s="16">
        <f t="shared" si="120"/>
        <v>0</v>
      </c>
      <c r="BN51" s="16">
        <f t="shared" si="121"/>
        <v>0</v>
      </c>
      <c r="BO51" s="16">
        <f t="shared" si="122"/>
        <v>0</v>
      </c>
      <c r="BP51" s="16">
        <f t="shared" si="123"/>
        <v>0</v>
      </c>
      <c r="BQ51" s="16">
        <f t="shared" si="124"/>
        <v>0</v>
      </c>
      <c r="BR51" s="16">
        <f t="shared" si="125"/>
        <v>0</v>
      </c>
      <c r="BS51" s="16">
        <f t="shared" si="126"/>
        <v>0</v>
      </c>
      <c r="BT51" s="16">
        <f t="shared" si="127"/>
        <v>0</v>
      </c>
    </row>
    <row r="52" spans="2:72" x14ac:dyDescent="0.2">
      <c r="B52" s="16">
        <f>N('Registru mijloace fixe'!$I52)</f>
        <v>0</v>
      </c>
      <c r="C52" s="27">
        <f>N('Registru mijloace fixe'!$J52)</f>
        <v>0</v>
      </c>
      <c r="D52" s="16" t="str">
        <f>'Registru mijloace fixe'!$K52&amp;""</f>
        <v/>
      </c>
      <c r="E52" s="16">
        <f t="shared" si="64"/>
        <v>1.5</v>
      </c>
      <c r="F52" s="16">
        <f t="shared" si="65"/>
        <v>0.5</v>
      </c>
      <c r="G52" s="16">
        <f t="shared" si="66"/>
        <v>0</v>
      </c>
      <c r="H52" s="16">
        <f t="shared" si="67"/>
        <v>0</v>
      </c>
      <c r="I52" s="16">
        <f t="shared" si="68"/>
        <v>0</v>
      </c>
      <c r="J52" s="16">
        <f t="shared" si="69"/>
        <v>0</v>
      </c>
      <c r="K52" s="16">
        <f t="shared" si="70"/>
        <v>0</v>
      </c>
      <c r="L52" s="16">
        <f t="shared" si="71"/>
        <v>0</v>
      </c>
      <c r="M52" s="16">
        <f t="shared" si="72"/>
        <v>0</v>
      </c>
      <c r="N52" s="16">
        <f t="shared" si="73"/>
        <v>0</v>
      </c>
      <c r="O52" s="16">
        <f t="shared" si="74"/>
        <v>0</v>
      </c>
      <c r="P52" s="16">
        <f t="shared" si="75"/>
        <v>0</v>
      </c>
      <c r="Q52" s="16">
        <f t="shared" si="76"/>
        <v>0</v>
      </c>
      <c r="R52" s="16">
        <f t="shared" si="77"/>
        <v>0</v>
      </c>
      <c r="S52" s="16">
        <f t="shared" si="78"/>
        <v>0</v>
      </c>
      <c r="T52" s="16">
        <f t="shared" si="79"/>
        <v>0</v>
      </c>
      <c r="U52" s="16">
        <f t="shared" si="80"/>
        <v>0</v>
      </c>
      <c r="V52" s="16">
        <f t="shared" si="81"/>
        <v>0</v>
      </c>
      <c r="W52" s="16">
        <f t="shared" si="82"/>
        <v>0</v>
      </c>
      <c r="X52" s="16">
        <f t="shared" si="83"/>
        <v>0</v>
      </c>
      <c r="Y52" s="16">
        <f t="shared" si="84"/>
        <v>0</v>
      </c>
      <c r="Z52" s="16">
        <f t="shared" si="85"/>
        <v>0</v>
      </c>
      <c r="AA52" s="16">
        <f t="shared" si="86"/>
        <v>0</v>
      </c>
      <c r="AB52" s="16">
        <f t="shared" si="87"/>
        <v>0</v>
      </c>
      <c r="AC52" s="16">
        <f t="shared" si="88"/>
        <v>0</v>
      </c>
      <c r="AD52" s="16">
        <f t="shared" si="89"/>
        <v>0</v>
      </c>
      <c r="AE52" s="16">
        <f t="shared" si="90"/>
        <v>0</v>
      </c>
      <c r="AF52" s="16">
        <f t="shared" si="91"/>
        <v>0</v>
      </c>
      <c r="AG52" s="16">
        <f t="shared" si="92"/>
        <v>0</v>
      </c>
      <c r="AH52" s="16">
        <f t="shared" si="93"/>
        <v>0</v>
      </c>
      <c r="AI52" s="16">
        <f t="shared" si="94"/>
        <v>0</v>
      </c>
      <c r="AJ52" s="16">
        <f t="shared" si="95"/>
        <v>0</v>
      </c>
      <c r="AK52" s="16"/>
      <c r="AL52" s="16"/>
      <c r="AM52" s="16">
        <f>IF(NOT(ISNUMBER('Registru mijloace fixe'!$R52)),0,MAX(0,MIN(((YEAR(LunaRef)-YEAR('Registru mijloace fixe'!$R52))*12+MONTH(LunaRef)-MONTH('Registru mijloace fixe'!$R52)+1)-1,IF(ISNUMBER('Registru mijloace fixe'!$N52),((YEAR('Registru mijloace fixe'!$N52)-YEAR('Registru mijloace fixe'!$R52))*12+MONTH('Registru mijloace fixe'!$N52)-MONTH('Registru mijloace fixe'!$R52)+1),9999),C52*12)))</f>
        <v>0</v>
      </c>
      <c r="AN52" s="27">
        <f>IF(NOT(ISNUMBER('Registru mijloace fixe'!$R52)),0,MAX(0,MIN(((YEAR(LunaRef)-YEAR('Registru mijloace fixe'!$R52))*12+MONTH(LunaRef)-MONTH('Registru mijloace fixe'!$R52)+1),IF(ISNUMBER('Registru mijloace fixe'!$N52),((YEAR('Registru mijloace fixe'!$N52)-YEAR('Registru mijloace fixe'!$R52))*12+MONTH('Registru mijloace fixe'!$N52)-MONTH('Registru mijloace fixe'!$R52)+1),9999),C52*12)))</f>
        <v>0</v>
      </c>
      <c r="AO52" s="16">
        <f t="shared" si="96"/>
        <v>0</v>
      </c>
      <c r="AP52" s="16">
        <f t="shared" si="97"/>
        <v>0</v>
      </c>
      <c r="AQ52" s="16">
        <f t="shared" si="98"/>
        <v>0</v>
      </c>
      <c r="AR52" s="16">
        <f t="shared" si="99"/>
        <v>0</v>
      </c>
      <c r="AS52" s="16">
        <f t="shared" si="100"/>
        <v>0</v>
      </c>
      <c r="AT52" s="16">
        <f t="shared" si="101"/>
        <v>0</v>
      </c>
      <c r="AU52" s="16">
        <f t="shared" si="102"/>
        <v>0</v>
      </c>
      <c r="AV52" s="16">
        <f t="shared" si="103"/>
        <v>0</v>
      </c>
      <c r="AW52" s="16">
        <f t="shared" si="104"/>
        <v>0</v>
      </c>
      <c r="AX52" s="16">
        <f t="shared" si="105"/>
        <v>0</v>
      </c>
      <c r="AY52" s="16">
        <f t="shared" si="106"/>
        <v>0</v>
      </c>
      <c r="AZ52" s="16">
        <f t="shared" si="107"/>
        <v>0</v>
      </c>
      <c r="BA52" s="16">
        <f t="shared" si="108"/>
        <v>0</v>
      </c>
      <c r="BB52" s="16">
        <f t="shared" si="109"/>
        <v>0</v>
      </c>
      <c r="BC52" s="16">
        <f t="shared" si="110"/>
        <v>0</v>
      </c>
      <c r="BD52" s="16">
        <f t="shared" si="111"/>
        <v>0</v>
      </c>
      <c r="BE52" s="16">
        <f t="shared" si="112"/>
        <v>0</v>
      </c>
      <c r="BF52" s="16">
        <f t="shared" si="113"/>
        <v>0</v>
      </c>
      <c r="BG52" s="16">
        <f t="shared" si="114"/>
        <v>0</v>
      </c>
      <c r="BH52" s="16">
        <f t="shared" si="115"/>
        <v>0</v>
      </c>
      <c r="BI52" s="16">
        <f t="shared" si="116"/>
        <v>0</v>
      </c>
      <c r="BJ52" s="16">
        <f t="shared" si="117"/>
        <v>0</v>
      </c>
      <c r="BK52" s="16">
        <f t="shared" si="118"/>
        <v>0</v>
      </c>
      <c r="BL52" s="16">
        <f t="shared" si="119"/>
        <v>0</v>
      </c>
      <c r="BM52" s="16">
        <f t="shared" si="120"/>
        <v>0</v>
      </c>
      <c r="BN52" s="16">
        <f t="shared" si="121"/>
        <v>0</v>
      </c>
      <c r="BO52" s="16">
        <f t="shared" si="122"/>
        <v>0</v>
      </c>
      <c r="BP52" s="16">
        <f t="shared" si="123"/>
        <v>0</v>
      </c>
      <c r="BQ52" s="16">
        <f t="shared" si="124"/>
        <v>0</v>
      </c>
      <c r="BR52" s="16">
        <f t="shared" si="125"/>
        <v>0</v>
      </c>
      <c r="BS52" s="16">
        <f t="shared" si="126"/>
        <v>0</v>
      </c>
      <c r="BT52" s="16">
        <f t="shared" si="127"/>
        <v>0</v>
      </c>
    </row>
    <row r="53" spans="2:72" x14ac:dyDescent="0.2">
      <c r="B53" s="16">
        <f>N('Registru mijloace fixe'!$I53)</f>
        <v>0</v>
      </c>
      <c r="C53" s="27">
        <f>N('Registru mijloace fixe'!$J53)</f>
        <v>0</v>
      </c>
      <c r="D53" s="16" t="str">
        <f>'Registru mijloace fixe'!$K53&amp;""</f>
        <v/>
      </c>
      <c r="E53" s="16">
        <f t="shared" si="64"/>
        <v>1.5</v>
      </c>
      <c r="F53" s="16">
        <f t="shared" si="65"/>
        <v>0.5</v>
      </c>
      <c r="G53" s="16">
        <f t="shared" si="66"/>
        <v>0</v>
      </c>
      <c r="H53" s="16">
        <f t="shared" si="67"/>
        <v>0</v>
      </c>
      <c r="I53" s="16">
        <f t="shared" si="68"/>
        <v>0</v>
      </c>
      <c r="J53" s="16">
        <f t="shared" si="69"/>
        <v>0</v>
      </c>
      <c r="K53" s="16">
        <f t="shared" si="70"/>
        <v>0</v>
      </c>
      <c r="L53" s="16">
        <f t="shared" si="71"/>
        <v>0</v>
      </c>
      <c r="M53" s="16">
        <f t="shared" si="72"/>
        <v>0</v>
      </c>
      <c r="N53" s="16">
        <f t="shared" si="73"/>
        <v>0</v>
      </c>
      <c r="O53" s="16">
        <f t="shared" si="74"/>
        <v>0</v>
      </c>
      <c r="P53" s="16">
        <f t="shared" si="75"/>
        <v>0</v>
      </c>
      <c r="Q53" s="16">
        <f t="shared" si="76"/>
        <v>0</v>
      </c>
      <c r="R53" s="16">
        <f t="shared" si="77"/>
        <v>0</v>
      </c>
      <c r="S53" s="16">
        <f t="shared" si="78"/>
        <v>0</v>
      </c>
      <c r="T53" s="16">
        <f t="shared" si="79"/>
        <v>0</v>
      </c>
      <c r="U53" s="16">
        <f t="shared" si="80"/>
        <v>0</v>
      </c>
      <c r="V53" s="16">
        <f t="shared" si="81"/>
        <v>0</v>
      </c>
      <c r="W53" s="16">
        <f t="shared" si="82"/>
        <v>0</v>
      </c>
      <c r="X53" s="16">
        <f t="shared" si="83"/>
        <v>0</v>
      </c>
      <c r="Y53" s="16">
        <f t="shared" si="84"/>
        <v>0</v>
      </c>
      <c r="Z53" s="16">
        <f t="shared" si="85"/>
        <v>0</v>
      </c>
      <c r="AA53" s="16">
        <f t="shared" si="86"/>
        <v>0</v>
      </c>
      <c r="AB53" s="16">
        <f t="shared" si="87"/>
        <v>0</v>
      </c>
      <c r="AC53" s="16">
        <f t="shared" si="88"/>
        <v>0</v>
      </c>
      <c r="AD53" s="16">
        <f t="shared" si="89"/>
        <v>0</v>
      </c>
      <c r="AE53" s="16">
        <f t="shared" si="90"/>
        <v>0</v>
      </c>
      <c r="AF53" s="16">
        <f t="shared" si="91"/>
        <v>0</v>
      </c>
      <c r="AG53" s="16">
        <f t="shared" si="92"/>
        <v>0</v>
      </c>
      <c r="AH53" s="16">
        <f t="shared" si="93"/>
        <v>0</v>
      </c>
      <c r="AI53" s="16">
        <f t="shared" si="94"/>
        <v>0</v>
      </c>
      <c r="AJ53" s="16">
        <f t="shared" si="95"/>
        <v>0</v>
      </c>
      <c r="AK53" s="16"/>
      <c r="AL53" s="16"/>
      <c r="AM53" s="16">
        <f>IF(NOT(ISNUMBER('Registru mijloace fixe'!$R53)),0,MAX(0,MIN(((YEAR(LunaRef)-YEAR('Registru mijloace fixe'!$R53))*12+MONTH(LunaRef)-MONTH('Registru mijloace fixe'!$R53)+1)-1,IF(ISNUMBER('Registru mijloace fixe'!$N53),((YEAR('Registru mijloace fixe'!$N53)-YEAR('Registru mijloace fixe'!$R53))*12+MONTH('Registru mijloace fixe'!$N53)-MONTH('Registru mijloace fixe'!$R53)+1),9999),C53*12)))</f>
        <v>0</v>
      </c>
      <c r="AN53" s="27">
        <f>IF(NOT(ISNUMBER('Registru mijloace fixe'!$R53)),0,MAX(0,MIN(((YEAR(LunaRef)-YEAR('Registru mijloace fixe'!$R53))*12+MONTH(LunaRef)-MONTH('Registru mijloace fixe'!$R53)+1),IF(ISNUMBER('Registru mijloace fixe'!$N53),((YEAR('Registru mijloace fixe'!$N53)-YEAR('Registru mijloace fixe'!$R53))*12+MONTH('Registru mijloace fixe'!$N53)-MONTH('Registru mijloace fixe'!$R53)+1),9999),C53*12)))</f>
        <v>0</v>
      </c>
      <c r="AO53" s="16">
        <f t="shared" si="96"/>
        <v>0</v>
      </c>
      <c r="AP53" s="16">
        <f t="shared" si="97"/>
        <v>0</v>
      </c>
      <c r="AQ53" s="16">
        <f t="shared" si="98"/>
        <v>0</v>
      </c>
      <c r="AR53" s="16">
        <f t="shared" si="99"/>
        <v>0</v>
      </c>
      <c r="AS53" s="16">
        <f t="shared" si="100"/>
        <v>0</v>
      </c>
      <c r="AT53" s="16">
        <f t="shared" si="101"/>
        <v>0</v>
      </c>
      <c r="AU53" s="16">
        <f t="shared" si="102"/>
        <v>0</v>
      </c>
      <c r="AV53" s="16">
        <f t="shared" si="103"/>
        <v>0</v>
      </c>
      <c r="AW53" s="16">
        <f t="shared" si="104"/>
        <v>0</v>
      </c>
      <c r="AX53" s="16">
        <f t="shared" si="105"/>
        <v>0</v>
      </c>
      <c r="AY53" s="16">
        <f t="shared" si="106"/>
        <v>0</v>
      </c>
      <c r="AZ53" s="16">
        <f t="shared" si="107"/>
        <v>0</v>
      </c>
      <c r="BA53" s="16">
        <f t="shared" si="108"/>
        <v>0</v>
      </c>
      <c r="BB53" s="16">
        <f t="shared" si="109"/>
        <v>0</v>
      </c>
      <c r="BC53" s="16">
        <f t="shared" si="110"/>
        <v>0</v>
      </c>
      <c r="BD53" s="16">
        <f t="shared" si="111"/>
        <v>0</v>
      </c>
      <c r="BE53" s="16">
        <f t="shared" si="112"/>
        <v>0</v>
      </c>
      <c r="BF53" s="16">
        <f t="shared" si="113"/>
        <v>0</v>
      </c>
      <c r="BG53" s="16">
        <f t="shared" si="114"/>
        <v>0</v>
      </c>
      <c r="BH53" s="16">
        <f t="shared" si="115"/>
        <v>0</v>
      </c>
      <c r="BI53" s="16">
        <f t="shared" si="116"/>
        <v>0</v>
      </c>
      <c r="BJ53" s="16">
        <f t="shared" si="117"/>
        <v>0</v>
      </c>
      <c r="BK53" s="16">
        <f t="shared" si="118"/>
        <v>0</v>
      </c>
      <c r="BL53" s="16">
        <f t="shared" si="119"/>
        <v>0</v>
      </c>
      <c r="BM53" s="16">
        <f t="shared" si="120"/>
        <v>0</v>
      </c>
      <c r="BN53" s="16">
        <f t="shared" si="121"/>
        <v>0</v>
      </c>
      <c r="BO53" s="16">
        <f t="shared" si="122"/>
        <v>0</v>
      </c>
      <c r="BP53" s="16">
        <f t="shared" si="123"/>
        <v>0</v>
      </c>
      <c r="BQ53" s="16">
        <f t="shared" si="124"/>
        <v>0</v>
      </c>
      <c r="BR53" s="16">
        <f t="shared" si="125"/>
        <v>0</v>
      </c>
      <c r="BS53" s="16">
        <f t="shared" si="126"/>
        <v>0</v>
      </c>
      <c r="BT53" s="16">
        <f t="shared" si="127"/>
        <v>0</v>
      </c>
    </row>
    <row r="54" spans="2:72" x14ac:dyDescent="0.2">
      <c r="B54" s="16">
        <f>N('Registru mijloace fixe'!$I54)</f>
        <v>0</v>
      </c>
      <c r="C54" s="27">
        <f>N('Registru mijloace fixe'!$J54)</f>
        <v>0</v>
      </c>
      <c r="D54" s="16" t="str">
        <f>'Registru mijloace fixe'!$K54&amp;""</f>
        <v/>
      </c>
      <c r="E54" s="16">
        <f t="shared" si="64"/>
        <v>1.5</v>
      </c>
      <c r="F54" s="16">
        <f t="shared" si="65"/>
        <v>0.5</v>
      </c>
      <c r="G54" s="16">
        <f t="shared" si="66"/>
        <v>0</v>
      </c>
      <c r="H54" s="16">
        <f t="shared" si="67"/>
        <v>0</v>
      </c>
      <c r="I54" s="16">
        <f t="shared" si="68"/>
        <v>0</v>
      </c>
      <c r="J54" s="16">
        <f t="shared" si="69"/>
        <v>0</v>
      </c>
      <c r="K54" s="16">
        <f t="shared" si="70"/>
        <v>0</v>
      </c>
      <c r="L54" s="16">
        <f t="shared" si="71"/>
        <v>0</v>
      </c>
      <c r="M54" s="16">
        <f t="shared" si="72"/>
        <v>0</v>
      </c>
      <c r="N54" s="16">
        <f t="shared" si="73"/>
        <v>0</v>
      </c>
      <c r="O54" s="16">
        <f t="shared" si="74"/>
        <v>0</v>
      </c>
      <c r="P54" s="16">
        <f t="shared" si="75"/>
        <v>0</v>
      </c>
      <c r="Q54" s="16">
        <f t="shared" si="76"/>
        <v>0</v>
      </c>
      <c r="R54" s="16">
        <f t="shared" si="77"/>
        <v>0</v>
      </c>
      <c r="S54" s="16">
        <f t="shared" si="78"/>
        <v>0</v>
      </c>
      <c r="T54" s="16">
        <f t="shared" si="79"/>
        <v>0</v>
      </c>
      <c r="U54" s="16">
        <f t="shared" si="80"/>
        <v>0</v>
      </c>
      <c r="V54" s="16">
        <f t="shared" si="81"/>
        <v>0</v>
      </c>
      <c r="W54" s="16">
        <f t="shared" si="82"/>
        <v>0</v>
      </c>
      <c r="X54" s="16">
        <f t="shared" si="83"/>
        <v>0</v>
      </c>
      <c r="Y54" s="16">
        <f t="shared" si="84"/>
        <v>0</v>
      </c>
      <c r="Z54" s="16">
        <f t="shared" si="85"/>
        <v>0</v>
      </c>
      <c r="AA54" s="16">
        <f t="shared" si="86"/>
        <v>0</v>
      </c>
      <c r="AB54" s="16">
        <f t="shared" si="87"/>
        <v>0</v>
      </c>
      <c r="AC54" s="16">
        <f t="shared" si="88"/>
        <v>0</v>
      </c>
      <c r="AD54" s="16">
        <f t="shared" si="89"/>
        <v>0</v>
      </c>
      <c r="AE54" s="16">
        <f t="shared" si="90"/>
        <v>0</v>
      </c>
      <c r="AF54" s="16">
        <f t="shared" si="91"/>
        <v>0</v>
      </c>
      <c r="AG54" s="16">
        <f t="shared" si="92"/>
        <v>0</v>
      </c>
      <c r="AH54" s="16">
        <f t="shared" si="93"/>
        <v>0</v>
      </c>
      <c r="AI54" s="16">
        <f t="shared" si="94"/>
        <v>0</v>
      </c>
      <c r="AJ54" s="16">
        <f t="shared" si="95"/>
        <v>0</v>
      </c>
      <c r="AK54" s="16"/>
      <c r="AL54" s="16"/>
      <c r="AM54" s="16">
        <f>IF(NOT(ISNUMBER('Registru mijloace fixe'!$R54)),0,MAX(0,MIN(((YEAR(LunaRef)-YEAR('Registru mijloace fixe'!$R54))*12+MONTH(LunaRef)-MONTH('Registru mijloace fixe'!$R54)+1)-1,IF(ISNUMBER('Registru mijloace fixe'!$N54),((YEAR('Registru mijloace fixe'!$N54)-YEAR('Registru mijloace fixe'!$R54))*12+MONTH('Registru mijloace fixe'!$N54)-MONTH('Registru mijloace fixe'!$R54)+1),9999),C54*12)))</f>
        <v>0</v>
      </c>
      <c r="AN54" s="27">
        <f>IF(NOT(ISNUMBER('Registru mijloace fixe'!$R54)),0,MAX(0,MIN(((YEAR(LunaRef)-YEAR('Registru mijloace fixe'!$R54))*12+MONTH(LunaRef)-MONTH('Registru mijloace fixe'!$R54)+1),IF(ISNUMBER('Registru mijloace fixe'!$N54),((YEAR('Registru mijloace fixe'!$N54)-YEAR('Registru mijloace fixe'!$R54))*12+MONTH('Registru mijloace fixe'!$N54)-MONTH('Registru mijloace fixe'!$R54)+1),9999),C54*12)))</f>
        <v>0</v>
      </c>
      <c r="AO54" s="16">
        <f t="shared" si="96"/>
        <v>0</v>
      </c>
      <c r="AP54" s="16">
        <f t="shared" si="97"/>
        <v>0</v>
      </c>
      <c r="AQ54" s="16">
        <f t="shared" si="98"/>
        <v>0</v>
      </c>
      <c r="AR54" s="16">
        <f t="shared" si="99"/>
        <v>0</v>
      </c>
      <c r="AS54" s="16">
        <f t="shared" si="100"/>
        <v>0</v>
      </c>
      <c r="AT54" s="16">
        <f t="shared" si="101"/>
        <v>0</v>
      </c>
      <c r="AU54" s="16">
        <f t="shared" si="102"/>
        <v>0</v>
      </c>
      <c r="AV54" s="16">
        <f t="shared" si="103"/>
        <v>0</v>
      </c>
      <c r="AW54" s="16">
        <f t="shared" si="104"/>
        <v>0</v>
      </c>
      <c r="AX54" s="16">
        <f t="shared" si="105"/>
        <v>0</v>
      </c>
      <c r="AY54" s="16">
        <f t="shared" si="106"/>
        <v>0</v>
      </c>
      <c r="AZ54" s="16">
        <f t="shared" si="107"/>
        <v>0</v>
      </c>
      <c r="BA54" s="16">
        <f t="shared" si="108"/>
        <v>0</v>
      </c>
      <c r="BB54" s="16">
        <f t="shared" si="109"/>
        <v>0</v>
      </c>
      <c r="BC54" s="16">
        <f t="shared" si="110"/>
        <v>0</v>
      </c>
      <c r="BD54" s="16">
        <f t="shared" si="111"/>
        <v>0</v>
      </c>
      <c r="BE54" s="16">
        <f t="shared" si="112"/>
        <v>0</v>
      </c>
      <c r="BF54" s="16">
        <f t="shared" si="113"/>
        <v>0</v>
      </c>
      <c r="BG54" s="16">
        <f t="shared" si="114"/>
        <v>0</v>
      </c>
      <c r="BH54" s="16">
        <f t="shared" si="115"/>
        <v>0</v>
      </c>
      <c r="BI54" s="16">
        <f t="shared" si="116"/>
        <v>0</v>
      </c>
      <c r="BJ54" s="16">
        <f t="shared" si="117"/>
        <v>0</v>
      </c>
      <c r="BK54" s="16">
        <f t="shared" si="118"/>
        <v>0</v>
      </c>
      <c r="BL54" s="16">
        <f t="shared" si="119"/>
        <v>0</v>
      </c>
      <c r="BM54" s="16">
        <f t="shared" si="120"/>
        <v>0</v>
      </c>
      <c r="BN54" s="16">
        <f t="shared" si="121"/>
        <v>0</v>
      </c>
      <c r="BO54" s="16">
        <f t="shared" si="122"/>
        <v>0</v>
      </c>
      <c r="BP54" s="16">
        <f t="shared" si="123"/>
        <v>0</v>
      </c>
      <c r="BQ54" s="16">
        <f t="shared" si="124"/>
        <v>0</v>
      </c>
      <c r="BR54" s="16">
        <f t="shared" si="125"/>
        <v>0</v>
      </c>
      <c r="BS54" s="16">
        <f t="shared" si="126"/>
        <v>0</v>
      </c>
      <c r="BT54" s="16">
        <f t="shared" si="127"/>
        <v>0</v>
      </c>
    </row>
    <row r="55" spans="2:72" x14ac:dyDescent="0.2">
      <c r="B55" s="16">
        <f>N('Registru mijloace fixe'!$I55)</f>
        <v>0</v>
      </c>
      <c r="C55" s="27">
        <f>N('Registru mijloace fixe'!$J55)</f>
        <v>0</v>
      </c>
      <c r="D55" s="16" t="str">
        <f>'Registru mijloace fixe'!$K55&amp;""</f>
        <v/>
      </c>
      <c r="E55" s="16">
        <f t="shared" si="64"/>
        <v>1.5</v>
      </c>
      <c r="F55" s="16">
        <f t="shared" si="65"/>
        <v>0.5</v>
      </c>
      <c r="G55" s="16">
        <f t="shared" si="66"/>
        <v>0</v>
      </c>
      <c r="H55" s="16">
        <f t="shared" si="67"/>
        <v>0</v>
      </c>
      <c r="I55" s="16">
        <f t="shared" si="68"/>
        <v>0</v>
      </c>
      <c r="J55" s="16">
        <f t="shared" si="69"/>
        <v>0</v>
      </c>
      <c r="K55" s="16">
        <f t="shared" si="70"/>
        <v>0</v>
      </c>
      <c r="L55" s="16">
        <f t="shared" si="71"/>
        <v>0</v>
      </c>
      <c r="M55" s="16">
        <f t="shared" si="72"/>
        <v>0</v>
      </c>
      <c r="N55" s="16">
        <f t="shared" si="73"/>
        <v>0</v>
      </c>
      <c r="O55" s="16">
        <f t="shared" si="74"/>
        <v>0</v>
      </c>
      <c r="P55" s="16">
        <f t="shared" si="75"/>
        <v>0</v>
      </c>
      <c r="Q55" s="16">
        <f t="shared" si="76"/>
        <v>0</v>
      </c>
      <c r="R55" s="16">
        <f t="shared" si="77"/>
        <v>0</v>
      </c>
      <c r="S55" s="16">
        <f t="shared" si="78"/>
        <v>0</v>
      </c>
      <c r="T55" s="16">
        <f t="shared" si="79"/>
        <v>0</v>
      </c>
      <c r="U55" s="16">
        <f t="shared" si="80"/>
        <v>0</v>
      </c>
      <c r="V55" s="16">
        <f t="shared" si="81"/>
        <v>0</v>
      </c>
      <c r="W55" s="16">
        <f t="shared" si="82"/>
        <v>0</v>
      </c>
      <c r="X55" s="16">
        <f t="shared" si="83"/>
        <v>0</v>
      </c>
      <c r="Y55" s="16">
        <f t="shared" si="84"/>
        <v>0</v>
      </c>
      <c r="Z55" s="16">
        <f t="shared" si="85"/>
        <v>0</v>
      </c>
      <c r="AA55" s="16">
        <f t="shared" si="86"/>
        <v>0</v>
      </c>
      <c r="AB55" s="16">
        <f t="shared" si="87"/>
        <v>0</v>
      </c>
      <c r="AC55" s="16">
        <f t="shared" si="88"/>
        <v>0</v>
      </c>
      <c r="AD55" s="16">
        <f t="shared" si="89"/>
        <v>0</v>
      </c>
      <c r="AE55" s="16">
        <f t="shared" si="90"/>
        <v>0</v>
      </c>
      <c r="AF55" s="16">
        <f t="shared" si="91"/>
        <v>0</v>
      </c>
      <c r="AG55" s="16">
        <f t="shared" si="92"/>
        <v>0</v>
      </c>
      <c r="AH55" s="16">
        <f t="shared" si="93"/>
        <v>0</v>
      </c>
      <c r="AI55" s="16">
        <f t="shared" si="94"/>
        <v>0</v>
      </c>
      <c r="AJ55" s="16">
        <f t="shared" si="95"/>
        <v>0</v>
      </c>
      <c r="AK55" s="16"/>
      <c r="AL55" s="16"/>
      <c r="AM55" s="16">
        <f>IF(NOT(ISNUMBER('Registru mijloace fixe'!$R55)),0,MAX(0,MIN(((YEAR(LunaRef)-YEAR('Registru mijloace fixe'!$R55))*12+MONTH(LunaRef)-MONTH('Registru mijloace fixe'!$R55)+1)-1,IF(ISNUMBER('Registru mijloace fixe'!$N55),((YEAR('Registru mijloace fixe'!$N55)-YEAR('Registru mijloace fixe'!$R55))*12+MONTH('Registru mijloace fixe'!$N55)-MONTH('Registru mijloace fixe'!$R55)+1),9999),C55*12)))</f>
        <v>0</v>
      </c>
      <c r="AN55" s="27">
        <f>IF(NOT(ISNUMBER('Registru mijloace fixe'!$R55)),0,MAX(0,MIN(((YEAR(LunaRef)-YEAR('Registru mijloace fixe'!$R55))*12+MONTH(LunaRef)-MONTH('Registru mijloace fixe'!$R55)+1),IF(ISNUMBER('Registru mijloace fixe'!$N55),((YEAR('Registru mijloace fixe'!$N55)-YEAR('Registru mijloace fixe'!$R55))*12+MONTH('Registru mijloace fixe'!$N55)-MONTH('Registru mijloace fixe'!$R55)+1),9999),C55*12)))</f>
        <v>0</v>
      </c>
      <c r="AO55" s="16">
        <f t="shared" si="96"/>
        <v>0</v>
      </c>
      <c r="AP55" s="16">
        <f t="shared" si="97"/>
        <v>0</v>
      </c>
      <c r="AQ55" s="16">
        <f t="shared" si="98"/>
        <v>0</v>
      </c>
      <c r="AR55" s="16">
        <f t="shared" si="99"/>
        <v>0</v>
      </c>
      <c r="AS55" s="16">
        <f t="shared" si="100"/>
        <v>0</v>
      </c>
      <c r="AT55" s="16">
        <f t="shared" si="101"/>
        <v>0</v>
      </c>
      <c r="AU55" s="16">
        <f t="shared" si="102"/>
        <v>0</v>
      </c>
      <c r="AV55" s="16">
        <f t="shared" si="103"/>
        <v>0</v>
      </c>
      <c r="AW55" s="16">
        <f t="shared" si="104"/>
        <v>0</v>
      </c>
      <c r="AX55" s="16">
        <f t="shared" si="105"/>
        <v>0</v>
      </c>
      <c r="AY55" s="16">
        <f t="shared" si="106"/>
        <v>0</v>
      </c>
      <c r="AZ55" s="16">
        <f t="shared" si="107"/>
        <v>0</v>
      </c>
      <c r="BA55" s="16">
        <f t="shared" si="108"/>
        <v>0</v>
      </c>
      <c r="BB55" s="16">
        <f t="shared" si="109"/>
        <v>0</v>
      </c>
      <c r="BC55" s="16">
        <f t="shared" si="110"/>
        <v>0</v>
      </c>
      <c r="BD55" s="16">
        <f t="shared" si="111"/>
        <v>0</v>
      </c>
      <c r="BE55" s="16">
        <f t="shared" si="112"/>
        <v>0</v>
      </c>
      <c r="BF55" s="16">
        <f t="shared" si="113"/>
        <v>0</v>
      </c>
      <c r="BG55" s="16">
        <f t="shared" si="114"/>
        <v>0</v>
      </c>
      <c r="BH55" s="16">
        <f t="shared" si="115"/>
        <v>0</v>
      </c>
      <c r="BI55" s="16">
        <f t="shared" si="116"/>
        <v>0</v>
      </c>
      <c r="BJ55" s="16">
        <f t="shared" si="117"/>
        <v>0</v>
      </c>
      <c r="BK55" s="16">
        <f t="shared" si="118"/>
        <v>0</v>
      </c>
      <c r="BL55" s="16">
        <f t="shared" si="119"/>
        <v>0</v>
      </c>
      <c r="BM55" s="16">
        <f t="shared" si="120"/>
        <v>0</v>
      </c>
      <c r="BN55" s="16">
        <f t="shared" si="121"/>
        <v>0</v>
      </c>
      <c r="BO55" s="16">
        <f t="shared" si="122"/>
        <v>0</v>
      </c>
      <c r="BP55" s="16">
        <f t="shared" si="123"/>
        <v>0</v>
      </c>
      <c r="BQ55" s="16">
        <f t="shared" si="124"/>
        <v>0</v>
      </c>
      <c r="BR55" s="16">
        <f t="shared" si="125"/>
        <v>0</v>
      </c>
      <c r="BS55" s="16">
        <f t="shared" si="126"/>
        <v>0</v>
      </c>
      <c r="BT55" s="16">
        <f t="shared" si="127"/>
        <v>0</v>
      </c>
    </row>
    <row r="56" spans="2:72" x14ac:dyDescent="0.2">
      <c r="B56" s="16">
        <f>N('Registru mijloace fixe'!$I56)</f>
        <v>0</v>
      </c>
      <c r="C56" s="27">
        <f>N('Registru mijloace fixe'!$J56)</f>
        <v>0</v>
      </c>
      <c r="D56" s="16" t="str">
        <f>'Registru mijloace fixe'!$K56&amp;""</f>
        <v/>
      </c>
      <c r="E56" s="16">
        <f t="shared" si="64"/>
        <v>1.5</v>
      </c>
      <c r="F56" s="16">
        <f t="shared" si="65"/>
        <v>0.5</v>
      </c>
      <c r="G56" s="16">
        <f t="shared" si="66"/>
        <v>0</v>
      </c>
      <c r="H56" s="16">
        <f t="shared" si="67"/>
        <v>0</v>
      </c>
      <c r="I56" s="16">
        <f t="shared" si="68"/>
        <v>0</v>
      </c>
      <c r="J56" s="16">
        <f t="shared" si="69"/>
        <v>0</v>
      </c>
      <c r="K56" s="16">
        <f t="shared" si="70"/>
        <v>0</v>
      </c>
      <c r="L56" s="16">
        <f t="shared" si="71"/>
        <v>0</v>
      </c>
      <c r="M56" s="16">
        <f t="shared" si="72"/>
        <v>0</v>
      </c>
      <c r="N56" s="16">
        <f t="shared" si="73"/>
        <v>0</v>
      </c>
      <c r="O56" s="16">
        <f t="shared" si="74"/>
        <v>0</v>
      </c>
      <c r="P56" s="16">
        <f t="shared" si="75"/>
        <v>0</v>
      </c>
      <c r="Q56" s="16">
        <f t="shared" si="76"/>
        <v>0</v>
      </c>
      <c r="R56" s="16">
        <f t="shared" si="77"/>
        <v>0</v>
      </c>
      <c r="S56" s="16">
        <f t="shared" si="78"/>
        <v>0</v>
      </c>
      <c r="T56" s="16">
        <f t="shared" si="79"/>
        <v>0</v>
      </c>
      <c r="U56" s="16">
        <f t="shared" si="80"/>
        <v>0</v>
      </c>
      <c r="V56" s="16">
        <f t="shared" si="81"/>
        <v>0</v>
      </c>
      <c r="W56" s="16">
        <f t="shared" si="82"/>
        <v>0</v>
      </c>
      <c r="X56" s="16">
        <f t="shared" si="83"/>
        <v>0</v>
      </c>
      <c r="Y56" s="16">
        <f t="shared" si="84"/>
        <v>0</v>
      </c>
      <c r="Z56" s="16">
        <f t="shared" si="85"/>
        <v>0</v>
      </c>
      <c r="AA56" s="16">
        <f t="shared" si="86"/>
        <v>0</v>
      </c>
      <c r="AB56" s="16">
        <f t="shared" si="87"/>
        <v>0</v>
      </c>
      <c r="AC56" s="16">
        <f t="shared" si="88"/>
        <v>0</v>
      </c>
      <c r="AD56" s="16">
        <f t="shared" si="89"/>
        <v>0</v>
      </c>
      <c r="AE56" s="16">
        <f t="shared" si="90"/>
        <v>0</v>
      </c>
      <c r="AF56" s="16">
        <f t="shared" si="91"/>
        <v>0</v>
      </c>
      <c r="AG56" s="16">
        <f t="shared" si="92"/>
        <v>0</v>
      </c>
      <c r="AH56" s="16">
        <f t="shared" si="93"/>
        <v>0</v>
      </c>
      <c r="AI56" s="16">
        <f t="shared" si="94"/>
        <v>0</v>
      </c>
      <c r="AJ56" s="16">
        <f t="shared" si="95"/>
        <v>0</v>
      </c>
      <c r="AK56" s="16"/>
      <c r="AL56" s="16"/>
      <c r="AM56" s="16">
        <f>IF(NOT(ISNUMBER('Registru mijloace fixe'!$R56)),0,MAX(0,MIN(((YEAR(LunaRef)-YEAR('Registru mijloace fixe'!$R56))*12+MONTH(LunaRef)-MONTH('Registru mijloace fixe'!$R56)+1)-1,IF(ISNUMBER('Registru mijloace fixe'!$N56),((YEAR('Registru mijloace fixe'!$N56)-YEAR('Registru mijloace fixe'!$R56))*12+MONTH('Registru mijloace fixe'!$N56)-MONTH('Registru mijloace fixe'!$R56)+1),9999),C56*12)))</f>
        <v>0</v>
      </c>
      <c r="AN56" s="27">
        <f>IF(NOT(ISNUMBER('Registru mijloace fixe'!$R56)),0,MAX(0,MIN(((YEAR(LunaRef)-YEAR('Registru mijloace fixe'!$R56))*12+MONTH(LunaRef)-MONTH('Registru mijloace fixe'!$R56)+1),IF(ISNUMBER('Registru mijloace fixe'!$N56),((YEAR('Registru mijloace fixe'!$N56)-YEAR('Registru mijloace fixe'!$R56))*12+MONTH('Registru mijloace fixe'!$N56)-MONTH('Registru mijloace fixe'!$R56)+1),9999),C56*12)))</f>
        <v>0</v>
      </c>
      <c r="AO56" s="16">
        <f t="shared" si="96"/>
        <v>0</v>
      </c>
      <c r="AP56" s="16">
        <f t="shared" si="97"/>
        <v>0</v>
      </c>
      <c r="AQ56" s="16">
        <f t="shared" si="98"/>
        <v>0</v>
      </c>
      <c r="AR56" s="16">
        <f t="shared" si="99"/>
        <v>0</v>
      </c>
      <c r="AS56" s="16">
        <f t="shared" si="100"/>
        <v>0</v>
      </c>
      <c r="AT56" s="16">
        <f t="shared" si="101"/>
        <v>0</v>
      </c>
      <c r="AU56" s="16">
        <f t="shared" si="102"/>
        <v>0</v>
      </c>
      <c r="AV56" s="16">
        <f t="shared" si="103"/>
        <v>0</v>
      </c>
      <c r="AW56" s="16">
        <f t="shared" si="104"/>
        <v>0</v>
      </c>
      <c r="AX56" s="16">
        <f t="shared" si="105"/>
        <v>0</v>
      </c>
      <c r="AY56" s="16">
        <f t="shared" si="106"/>
        <v>0</v>
      </c>
      <c r="AZ56" s="16">
        <f t="shared" si="107"/>
        <v>0</v>
      </c>
      <c r="BA56" s="16">
        <f t="shared" si="108"/>
        <v>0</v>
      </c>
      <c r="BB56" s="16">
        <f t="shared" si="109"/>
        <v>0</v>
      </c>
      <c r="BC56" s="16">
        <f t="shared" si="110"/>
        <v>0</v>
      </c>
      <c r="BD56" s="16">
        <f t="shared" si="111"/>
        <v>0</v>
      </c>
      <c r="BE56" s="16">
        <f t="shared" si="112"/>
        <v>0</v>
      </c>
      <c r="BF56" s="16">
        <f t="shared" si="113"/>
        <v>0</v>
      </c>
      <c r="BG56" s="16">
        <f t="shared" si="114"/>
        <v>0</v>
      </c>
      <c r="BH56" s="16">
        <f t="shared" si="115"/>
        <v>0</v>
      </c>
      <c r="BI56" s="16">
        <f t="shared" si="116"/>
        <v>0</v>
      </c>
      <c r="BJ56" s="16">
        <f t="shared" si="117"/>
        <v>0</v>
      </c>
      <c r="BK56" s="16">
        <f t="shared" si="118"/>
        <v>0</v>
      </c>
      <c r="BL56" s="16">
        <f t="shared" si="119"/>
        <v>0</v>
      </c>
      <c r="BM56" s="16">
        <f t="shared" si="120"/>
        <v>0</v>
      </c>
      <c r="BN56" s="16">
        <f t="shared" si="121"/>
        <v>0</v>
      </c>
      <c r="BO56" s="16">
        <f t="shared" si="122"/>
        <v>0</v>
      </c>
      <c r="BP56" s="16">
        <f t="shared" si="123"/>
        <v>0</v>
      </c>
      <c r="BQ56" s="16">
        <f t="shared" si="124"/>
        <v>0</v>
      </c>
      <c r="BR56" s="16">
        <f t="shared" si="125"/>
        <v>0</v>
      </c>
      <c r="BS56" s="16">
        <f t="shared" si="126"/>
        <v>0</v>
      </c>
      <c r="BT56" s="16">
        <f t="shared" si="127"/>
        <v>0</v>
      </c>
    </row>
    <row r="57" spans="2:72" x14ac:dyDescent="0.2">
      <c r="B57" s="16">
        <f>N('Registru mijloace fixe'!$I57)</f>
        <v>0</v>
      </c>
      <c r="C57" s="27">
        <f>N('Registru mijloace fixe'!$J57)</f>
        <v>0</v>
      </c>
      <c r="D57" s="16" t="str">
        <f>'Registru mijloace fixe'!$K57&amp;""</f>
        <v/>
      </c>
      <c r="E57" s="16">
        <f t="shared" si="64"/>
        <v>1.5</v>
      </c>
      <c r="F57" s="16">
        <f t="shared" si="65"/>
        <v>0.5</v>
      </c>
      <c r="G57" s="16">
        <f t="shared" si="66"/>
        <v>0</v>
      </c>
      <c r="H57" s="16">
        <f t="shared" si="67"/>
        <v>0</v>
      </c>
      <c r="I57" s="16">
        <f t="shared" si="68"/>
        <v>0</v>
      </c>
      <c r="J57" s="16">
        <f t="shared" si="69"/>
        <v>0</v>
      </c>
      <c r="K57" s="16">
        <f t="shared" si="70"/>
        <v>0</v>
      </c>
      <c r="L57" s="16">
        <f t="shared" si="71"/>
        <v>0</v>
      </c>
      <c r="M57" s="16">
        <f t="shared" si="72"/>
        <v>0</v>
      </c>
      <c r="N57" s="16">
        <f t="shared" si="73"/>
        <v>0</v>
      </c>
      <c r="O57" s="16">
        <f t="shared" si="74"/>
        <v>0</v>
      </c>
      <c r="P57" s="16">
        <f t="shared" si="75"/>
        <v>0</v>
      </c>
      <c r="Q57" s="16">
        <f t="shared" si="76"/>
        <v>0</v>
      </c>
      <c r="R57" s="16">
        <f t="shared" si="77"/>
        <v>0</v>
      </c>
      <c r="S57" s="16">
        <f t="shared" si="78"/>
        <v>0</v>
      </c>
      <c r="T57" s="16">
        <f t="shared" si="79"/>
        <v>0</v>
      </c>
      <c r="U57" s="16">
        <f t="shared" si="80"/>
        <v>0</v>
      </c>
      <c r="V57" s="16">
        <f t="shared" si="81"/>
        <v>0</v>
      </c>
      <c r="W57" s="16">
        <f t="shared" si="82"/>
        <v>0</v>
      </c>
      <c r="X57" s="16">
        <f t="shared" si="83"/>
        <v>0</v>
      </c>
      <c r="Y57" s="16">
        <f t="shared" si="84"/>
        <v>0</v>
      </c>
      <c r="Z57" s="16">
        <f t="shared" si="85"/>
        <v>0</v>
      </c>
      <c r="AA57" s="16">
        <f t="shared" si="86"/>
        <v>0</v>
      </c>
      <c r="AB57" s="16">
        <f t="shared" si="87"/>
        <v>0</v>
      </c>
      <c r="AC57" s="16">
        <f t="shared" si="88"/>
        <v>0</v>
      </c>
      <c r="AD57" s="16">
        <f t="shared" si="89"/>
        <v>0</v>
      </c>
      <c r="AE57" s="16">
        <f t="shared" si="90"/>
        <v>0</v>
      </c>
      <c r="AF57" s="16">
        <f t="shared" si="91"/>
        <v>0</v>
      </c>
      <c r="AG57" s="16">
        <f t="shared" si="92"/>
        <v>0</v>
      </c>
      <c r="AH57" s="16">
        <f t="shared" si="93"/>
        <v>0</v>
      </c>
      <c r="AI57" s="16">
        <f t="shared" si="94"/>
        <v>0</v>
      </c>
      <c r="AJ57" s="16">
        <f t="shared" si="95"/>
        <v>0</v>
      </c>
      <c r="AK57" s="16"/>
      <c r="AL57" s="16"/>
      <c r="AM57" s="16">
        <f>IF(NOT(ISNUMBER('Registru mijloace fixe'!$R57)),0,MAX(0,MIN(((YEAR(LunaRef)-YEAR('Registru mijloace fixe'!$R57))*12+MONTH(LunaRef)-MONTH('Registru mijloace fixe'!$R57)+1)-1,IF(ISNUMBER('Registru mijloace fixe'!$N57),((YEAR('Registru mijloace fixe'!$N57)-YEAR('Registru mijloace fixe'!$R57))*12+MONTH('Registru mijloace fixe'!$N57)-MONTH('Registru mijloace fixe'!$R57)+1),9999),C57*12)))</f>
        <v>0</v>
      </c>
      <c r="AN57" s="27">
        <f>IF(NOT(ISNUMBER('Registru mijloace fixe'!$R57)),0,MAX(0,MIN(((YEAR(LunaRef)-YEAR('Registru mijloace fixe'!$R57))*12+MONTH(LunaRef)-MONTH('Registru mijloace fixe'!$R57)+1),IF(ISNUMBER('Registru mijloace fixe'!$N57),((YEAR('Registru mijloace fixe'!$N57)-YEAR('Registru mijloace fixe'!$R57))*12+MONTH('Registru mijloace fixe'!$N57)-MONTH('Registru mijloace fixe'!$R57)+1),9999),C57*12)))</f>
        <v>0</v>
      </c>
      <c r="AO57" s="16">
        <f t="shared" si="96"/>
        <v>0</v>
      </c>
      <c r="AP57" s="16">
        <f t="shared" si="97"/>
        <v>0</v>
      </c>
      <c r="AQ57" s="16">
        <f t="shared" si="98"/>
        <v>0</v>
      </c>
      <c r="AR57" s="16">
        <f t="shared" si="99"/>
        <v>0</v>
      </c>
      <c r="AS57" s="16">
        <f t="shared" si="100"/>
        <v>0</v>
      </c>
      <c r="AT57" s="16">
        <f t="shared" si="101"/>
        <v>0</v>
      </c>
      <c r="AU57" s="16">
        <f t="shared" si="102"/>
        <v>0</v>
      </c>
      <c r="AV57" s="16">
        <f t="shared" si="103"/>
        <v>0</v>
      </c>
      <c r="AW57" s="16">
        <f t="shared" si="104"/>
        <v>0</v>
      </c>
      <c r="AX57" s="16">
        <f t="shared" si="105"/>
        <v>0</v>
      </c>
      <c r="AY57" s="16">
        <f t="shared" si="106"/>
        <v>0</v>
      </c>
      <c r="AZ57" s="16">
        <f t="shared" si="107"/>
        <v>0</v>
      </c>
      <c r="BA57" s="16">
        <f t="shared" si="108"/>
        <v>0</v>
      </c>
      <c r="BB57" s="16">
        <f t="shared" si="109"/>
        <v>0</v>
      </c>
      <c r="BC57" s="16">
        <f t="shared" si="110"/>
        <v>0</v>
      </c>
      <c r="BD57" s="16">
        <f t="shared" si="111"/>
        <v>0</v>
      </c>
      <c r="BE57" s="16">
        <f t="shared" si="112"/>
        <v>0</v>
      </c>
      <c r="BF57" s="16">
        <f t="shared" si="113"/>
        <v>0</v>
      </c>
      <c r="BG57" s="16">
        <f t="shared" si="114"/>
        <v>0</v>
      </c>
      <c r="BH57" s="16">
        <f t="shared" si="115"/>
        <v>0</v>
      </c>
      <c r="BI57" s="16">
        <f t="shared" si="116"/>
        <v>0</v>
      </c>
      <c r="BJ57" s="16">
        <f t="shared" si="117"/>
        <v>0</v>
      </c>
      <c r="BK57" s="16">
        <f t="shared" si="118"/>
        <v>0</v>
      </c>
      <c r="BL57" s="16">
        <f t="shared" si="119"/>
        <v>0</v>
      </c>
      <c r="BM57" s="16">
        <f t="shared" si="120"/>
        <v>0</v>
      </c>
      <c r="BN57" s="16">
        <f t="shared" si="121"/>
        <v>0</v>
      </c>
      <c r="BO57" s="16">
        <f t="shared" si="122"/>
        <v>0</v>
      </c>
      <c r="BP57" s="16">
        <f t="shared" si="123"/>
        <v>0</v>
      </c>
      <c r="BQ57" s="16">
        <f t="shared" si="124"/>
        <v>0</v>
      </c>
      <c r="BR57" s="16">
        <f t="shared" si="125"/>
        <v>0</v>
      </c>
      <c r="BS57" s="16">
        <f t="shared" si="126"/>
        <v>0</v>
      </c>
      <c r="BT57" s="16">
        <f t="shared" si="127"/>
        <v>0</v>
      </c>
    </row>
    <row r="58" spans="2:72" x14ac:dyDescent="0.2">
      <c r="B58" s="16">
        <f>N('Registru mijloace fixe'!$I58)</f>
        <v>0</v>
      </c>
      <c r="C58" s="27">
        <f>N('Registru mijloace fixe'!$J58)</f>
        <v>0</v>
      </c>
      <c r="D58" s="16" t="str">
        <f>'Registru mijloace fixe'!$K58&amp;""</f>
        <v/>
      </c>
      <c r="E58" s="16">
        <f t="shared" si="64"/>
        <v>1.5</v>
      </c>
      <c r="F58" s="16">
        <f t="shared" si="65"/>
        <v>0.5</v>
      </c>
      <c r="G58" s="16">
        <f t="shared" si="66"/>
        <v>0</v>
      </c>
      <c r="H58" s="16">
        <f t="shared" si="67"/>
        <v>0</v>
      </c>
      <c r="I58" s="16">
        <f t="shared" si="68"/>
        <v>0</v>
      </c>
      <c r="J58" s="16">
        <f t="shared" si="69"/>
        <v>0</v>
      </c>
      <c r="K58" s="16">
        <f t="shared" si="70"/>
        <v>0</v>
      </c>
      <c r="L58" s="16">
        <f t="shared" si="71"/>
        <v>0</v>
      </c>
      <c r="M58" s="16">
        <f t="shared" si="72"/>
        <v>0</v>
      </c>
      <c r="N58" s="16">
        <f t="shared" si="73"/>
        <v>0</v>
      </c>
      <c r="O58" s="16">
        <f t="shared" si="74"/>
        <v>0</v>
      </c>
      <c r="P58" s="16">
        <f t="shared" si="75"/>
        <v>0</v>
      </c>
      <c r="Q58" s="16">
        <f t="shared" si="76"/>
        <v>0</v>
      </c>
      <c r="R58" s="16">
        <f t="shared" si="77"/>
        <v>0</v>
      </c>
      <c r="S58" s="16">
        <f t="shared" si="78"/>
        <v>0</v>
      </c>
      <c r="T58" s="16">
        <f t="shared" si="79"/>
        <v>0</v>
      </c>
      <c r="U58" s="16">
        <f t="shared" si="80"/>
        <v>0</v>
      </c>
      <c r="V58" s="16">
        <f t="shared" si="81"/>
        <v>0</v>
      </c>
      <c r="W58" s="16">
        <f t="shared" si="82"/>
        <v>0</v>
      </c>
      <c r="X58" s="16">
        <f t="shared" si="83"/>
        <v>0</v>
      </c>
      <c r="Y58" s="16">
        <f t="shared" si="84"/>
        <v>0</v>
      </c>
      <c r="Z58" s="16">
        <f t="shared" si="85"/>
        <v>0</v>
      </c>
      <c r="AA58" s="16">
        <f t="shared" si="86"/>
        <v>0</v>
      </c>
      <c r="AB58" s="16">
        <f t="shared" si="87"/>
        <v>0</v>
      </c>
      <c r="AC58" s="16">
        <f t="shared" si="88"/>
        <v>0</v>
      </c>
      <c r="AD58" s="16">
        <f t="shared" si="89"/>
        <v>0</v>
      </c>
      <c r="AE58" s="16">
        <f t="shared" si="90"/>
        <v>0</v>
      </c>
      <c r="AF58" s="16">
        <f t="shared" si="91"/>
        <v>0</v>
      </c>
      <c r="AG58" s="16">
        <f t="shared" si="92"/>
        <v>0</v>
      </c>
      <c r="AH58" s="16">
        <f t="shared" si="93"/>
        <v>0</v>
      </c>
      <c r="AI58" s="16">
        <f t="shared" si="94"/>
        <v>0</v>
      </c>
      <c r="AJ58" s="16">
        <f t="shared" si="95"/>
        <v>0</v>
      </c>
      <c r="AK58" s="16"/>
      <c r="AL58" s="16"/>
      <c r="AM58" s="16">
        <f>IF(NOT(ISNUMBER('Registru mijloace fixe'!$R58)),0,MAX(0,MIN(((YEAR(LunaRef)-YEAR('Registru mijloace fixe'!$R58))*12+MONTH(LunaRef)-MONTH('Registru mijloace fixe'!$R58)+1)-1,IF(ISNUMBER('Registru mijloace fixe'!$N58),((YEAR('Registru mijloace fixe'!$N58)-YEAR('Registru mijloace fixe'!$R58))*12+MONTH('Registru mijloace fixe'!$N58)-MONTH('Registru mijloace fixe'!$R58)+1),9999),C58*12)))</f>
        <v>0</v>
      </c>
      <c r="AN58" s="27">
        <f>IF(NOT(ISNUMBER('Registru mijloace fixe'!$R58)),0,MAX(0,MIN(((YEAR(LunaRef)-YEAR('Registru mijloace fixe'!$R58))*12+MONTH(LunaRef)-MONTH('Registru mijloace fixe'!$R58)+1),IF(ISNUMBER('Registru mijloace fixe'!$N58),((YEAR('Registru mijloace fixe'!$N58)-YEAR('Registru mijloace fixe'!$R58))*12+MONTH('Registru mijloace fixe'!$N58)-MONTH('Registru mijloace fixe'!$R58)+1),9999),C58*12)))</f>
        <v>0</v>
      </c>
      <c r="AO58" s="16">
        <f t="shared" si="96"/>
        <v>0</v>
      </c>
      <c r="AP58" s="16">
        <f t="shared" si="97"/>
        <v>0</v>
      </c>
      <c r="AQ58" s="16">
        <f t="shared" si="98"/>
        <v>0</v>
      </c>
      <c r="AR58" s="16">
        <f t="shared" si="99"/>
        <v>0</v>
      </c>
      <c r="AS58" s="16">
        <f t="shared" si="100"/>
        <v>0</v>
      </c>
      <c r="AT58" s="16">
        <f t="shared" si="101"/>
        <v>0</v>
      </c>
      <c r="AU58" s="16">
        <f t="shared" si="102"/>
        <v>0</v>
      </c>
      <c r="AV58" s="16">
        <f t="shared" si="103"/>
        <v>0</v>
      </c>
      <c r="AW58" s="16">
        <f t="shared" si="104"/>
        <v>0</v>
      </c>
      <c r="AX58" s="16">
        <f t="shared" si="105"/>
        <v>0</v>
      </c>
      <c r="AY58" s="16">
        <f t="shared" si="106"/>
        <v>0</v>
      </c>
      <c r="AZ58" s="16">
        <f t="shared" si="107"/>
        <v>0</v>
      </c>
      <c r="BA58" s="16">
        <f t="shared" si="108"/>
        <v>0</v>
      </c>
      <c r="BB58" s="16">
        <f t="shared" si="109"/>
        <v>0</v>
      </c>
      <c r="BC58" s="16">
        <f t="shared" si="110"/>
        <v>0</v>
      </c>
      <c r="BD58" s="16">
        <f t="shared" si="111"/>
        <v>0</v>
      </c>
      <c r="BE58" s="16">
        <f t="shared" si="112"/>
        <v>0</v>
      </c>
      <c r="BF58" s="16">
        <f t="shared" si="113"/>
        <v>0</v>
      </c>
      <c r="BG58" s="16">
        <f t="shared" si="114"/>
        <v>0</v>
      </c>
      <c r="BH58" s="16">
        <f t="shared" si="115"/>
        <v>0</v>
      </c>
      <c r="BI58" s="16">
        <f t="shared" si="116"/>
        <v>0</v>
      </c>
      <c r="BJ58" s="16">
        <f t="shared" si="117"/>
        <v>0</v>
      </c>
      <c r="BK58" s="16">
        <f t="shared" si="118"/>
        <v>0</v>
      </c>
      <c r="BL58" s="16">
        <f t="shared" si="119"/>
        <v>0</v>
      </c>
      <c r="BM58" s="16">
        <f t="shared" si="120"/>
        <v>0</v>
      </c>
      <c r="BN58" s="16">
        <f t="shared" si="121"/>
        <v>0</v>
      </c>
      <c r="BO58" s="16">
        <f t="shared" si="122"/>
        <v>0</v>
      </c>
      <c r="BP58" s="16">
        <f t="shared" si="123"/>
        <v>0</v>
      </c>
      <c r="BQ58" s="16">
        <f t="shared" si="124"/>
        <v>0</v>
      </c>
      <c r="BR58" s="16">
        <f t="shared" si="125"/>
        <v>0</v>
      </c>
      <c r="BS58" s="16">
        <f t="shared" si="126"/>
        <v>0</v>
      </c>
      <c r="BT58" s="16">
        <f t="shared" si="127"/>
        <v>0</v>
      </c>
    </row>
    <row r="59" spans="2:72" x14ac:dyDescent="0.2">
      <c r="B59" s="16">
        <f>N('Registru mijloace fixe'!$I59)</f>
        <v>0</v>
      </c>
      <c r="C59" s="27">
        <f>N('Registru mijloace fixe'!$J59)</f>
        <v>0</v>
      </c>
      <c r="D59" s="16" t="str">
        <f>'Registru mijloace fixe'!$K59&amp;""</f>
        <v/>
      </c>
      <c r="E59" s="16">
        <f t="shared" si="64"/>
        <v>1.5</v>
      </c>
      <c r="F59" s="16">
        <f t="shared" si="65"/>
        <v>0.5</v>
      </c>
      <c r="G59" s="16">
        <f t="shared" si="66"/>
        <v>0</v>
      </c>
      <c r="H59" s="16">
        <f t="shared" si="67"/>
        <v>0</v>
      </c>
      <c r="I59" s="16">
        <f t="shared" si="68"/>
        <v>0</v>
      </c>
      <c r="J59" s="16">
        <f t="shared" si="69"/>
        <v>0</v>
      </c>
      <c r="K59" s="16">
        <f t="shared" si="70"/>
        <v>0</v>
      </c>
      <c r="L59" s="16">
        <f t="shared" si="71"/>
        <v>0</v>
      </c>
      <c r="M59" s="16">
        <f t="shared" si="72"/>
        <v>0</v>
      </c>
      <c r="N59" s="16">
        <f t="shared" si="73"/>
        <v>0</v>
      </c>
      <c r="O59" s="16">
        <f t="shared" si="74"/>
        <v>0</v>
      </c>
      <c r="P59" s="16">
        <f t="shared" si="75"/>
        <v>0</v>
      </c>
      <c r="Q59" s="16">
        <f t="shared" si="76"/>
        <v>0</v>
      </c>
      <c r="R59" s="16">
        <f t="shared" si="77"/>
        <v>0</v>
      </c>
      <c r="S59" s="16">
        <f t="shared" si="78"/>
        <v>0</v>
      </c>
      <c r="T59" s="16">
        <f t="shared" si="79"/>
        <v>0</v>
      </c>
      <c r="U59" s="16">
        <f t="shared" si="80"/>
        <v>0</v>
      </c>
      <c r="V59" s="16">
        <f t="shared" si="81"/>
        <v>0</v>
      </c>
      <c r="W59" s="16">
        <f t="shared" si="82"/>
        <v>0</v>
      </c>
      <c r="X59" s="16">
        <f t="shared" si="83"/>
        <v>0</v>
      </c>
      <c r="Y59" s="16">
        <f t="shared" si="84"/>
        <v>0</v>
      </c>
      <c r="Z59" s="16">
        <f t="shared" si="85"/>
        <v>0</v>
      </c>
      <c r="AA59" s="16">
        <f t="shared" si="86"/>
        <v>0</v>
      </c>
      <c r="AB59" s="16">
        <f t="shared" si="87"/>
        <v>0</v>
      </c>
      <c r="AC59" s="16">
        <f t="shared" si="88"/>
        <v>0</v>
      </c>
      <c r="AD59" s="16">
        <f t="shared" si="89"/>
        <v>0</v>
      </c>
      <c r="AE59" s="16">
        <f t="shared" si="90"/>
        <v>0</v>
      </c>
      <c r="AF59" s="16">
        <f t="shared" si="91"/>
        <v>0</v>
      </c>
      <c r="AG59" s="16">
        <f t="shared" si="92"/>
        <v>0</v>
      </c>
      <c r="AH59" s="16">
        <f t="shared" si="93"/>
        <v>0</v>
      </c>
      <c r="AI59" s="16">
        <f t="shared" si="94"/>
        <v>0</v>
      </c>
      <c r="AJ59" s="16">
        <f t="shared" si="95"/>
        <v>0</v>
      </c>
      <c r="AK59" s="16"/>
      <c r="AL59" s="16"/>
      <c r="AM59" s="16">
        <f>IF(NOT(ISNUMBER('Registru mijloace fixe'!$R59)),0,MAX(0,MIN(((YEAR(LunaRef)-YEAR('Registru mijloace fixe'!$R59))*12+MONTH(LunaRef)-MONTH('Registru mijloace fixe'!$R59)+1)-1,IF(ISNUMBER('Registru mijloace fixe'!$N59),((YEAR('Registru mijloace fixe'!$N59)-YEAR('Registru mijloace fixe'!$R59))*12+MONTH('Registru mijloace fixe'!$N59)-MONTH('Registru mijloace fixe'!$R59)+1),9999),C59*12)))</f>
        <v>0</v>
      </c>
      <c r="AN59" s="27">
        <f>IF(NOT(ISNUMBER('Registru mijloace fixe'!$R59)),0,MAX(0,MIN(((YEAR(LunaRef)-YEAR('Registru mijloace fixe'!$R59))*12+MONTH(LunaRef)-MONTH('Registru mijloace fixe'!$R59)+1),IF(ISNUMBER('Registru mijloace fixe'!$N59),((YEAR('Registru mijloace fixe'!$N59)-YEAR('Registru mijloace fixe'!$R59))*12+MONTH('Registru mijloace fixe'!$N59)-MONTH('Registru mijloace fixe'!$R59)+1),9999),C59*12)))</f>
        <v>0</v>
      </c>
      <c r="AO59" s="16">
        <f t="shared" si="96"/>
        <v>0</v>
      </c>
      <c r="AP59" s="16">
        <f t="shared" si="97"/>
        <v>0</v>
      </c>
      <c r="AQ59" s="16">
        <f t="shared" si="98"/>
        <v>0</v>
      </c>
      <c r="AR59" s="16">
        <f t="shared" si="99"/>
        <v>0</v>
      </c>
      <c r="AS59" s="16">
        <f t="shared" si="100"/>
        <v>0</v>
      </c>
      <c r="AT59" s="16">
        <f t="shared" si="101"/>
        <v>0</v>
      </c>
      <c r="AU59" s="16">
        <f t="shared" si="102"/>
        <v>0</v>
      </c>
      <c r="AV59" s="16">
        <f t="shared" si="103"/>
        <v>0</v>
      </c>
      <c r="AW59" s="16">
        <f t="shared" si="104"/>
        <v>0</v>
      </c>
      <c r="AX59" s="16">
        <f t="shared" si="105"/>
        <v>0</v>
      </c>
      <c r="AY59" s="16">
        <f t="shared" si="106"/>
        <v>0</v>
      </c>
      <c r="AZ59" s="16">
        <f t="shared" si="107"/>
        <v>0</v>
      </c>
      <c r="BA59" s="16">
        <f t="shared" si="108"/>
        <v>0</v>
      </c>
      <c r="BB59" s="16">
        <f t="shared" si="109"/>
        <v>0</v>
      </c>
      <c r="BC59" s="16">
        <f t="shared" si="110"/>
        <v>0</v>
      </c>
      <c r="BD59" s="16">
        <f t="shared" si="111"/>
        <v>0</v>
      </c>
      <c r="BE59" s="16">
        <f t="shared" si="112"/>
        <v>0</v>
      </c>
      <c r="BF59" s="16">
        <f t="shared" si="113"/>
        <v>0</v>
      </c>
      <c r="BG59" s="16">
        <f t="shared" si="114"/>
        <v>0</v>
      </c>
      <c r="BH59" s="16">
        <f t="shared" si="115"/>
        <v>0</v>
      </c>
      <c r="BI59" s="16">
        <f t="shared" si="116"/>
        <v>0</v>
      </c>
      <c r="BJ59" s="16">
        <f t="shared" si="117"/>
        <v>0</v>
      </c>
      <c r="BK59" s="16">
        <f t="shared" si="118"/>
        <v>0</v>
      </c>
      <c r="BL59" s="16">
        <f t="shared" si="119"/>
        <v>0</v>
      </c>
      <c r="BM59" s="16">
        <f t="shared" si="120"/>
        <v>0</v>
      </c>
      <c r="BN59" s="16">
        <f t="shared" si="121"/>
        <v>0</v>
      </c>
      <c r="BO59" s="16">
        <f t="shared" si="122"/>
        <v>0</v>
      </c>
      <c r="BP59" s="16">
        <f t="shared" si="123"/>
        <v>0</v>
      </c>
      <c r="BQ59" s="16">
        <f t="shared" si="124"/>
        <v>0</v>
      </c>
      <c r="BR59" s="16">
        <f t="shared" si="125"/>
        <v>0</v>
      </c>
      <c r="BS59" s="16">
        <f t="shared" si="126"/>
        <v>0</v>
      </c>
      <c r="BT59" s="16">
        <f t="shared" si="127"/>
        <v>0</v>
      </c>
    </row>
    <row r="60" spans="2:72" x14ac:dyDescent="0.2">
      <c r="B60" s="16">
        <f>N('Registru mijloace fixe'!$I60)</f>
        <v>0</v>
      </c>
      <c r="C60" s="27">
        <f>N('Registru mijloace fixe'!$J60)</f>
        <v>0</v>
      </c>
      <c r="D60" s="16" t="str">
        <f>'Registru mijloace fixe'!$K60&amp;""</f>
        <v/>
      </c>
      <c r="E60" s="16">
        <f t="shared" si="64"/>
        <v>1.5</v>
      </c>
      <c r="F60" s="16">
        <f t="shared" si="65"/>
        <v>0.5</v>
      </c>
      <c r="G60" s="16">
        <f t="shared" si="66"/>
        <v>0</v>
      </c>
      <c r="H60" s="16">
        <f t="shared" si="67"/>
        <v>0</v>
      </c>
      <c r="I60" s="16">
        <f t="shared" si="68"/>
        <v>0</v>
      </c>
      <c r="J60" s="16">
        <f t="shared" si="69"/>
        <v>0</v>
      </c>
      <c r="K60" s="16">
        <f t="shared" si="70"/>
        <v>0</v>
      </c>
      <c r="L60" s="16">
        <f t="shared" si="71"/>
        <v>0</v>
      </c>
      <c r="M60" s="16">
        <f t="shared" si="72"/>
        <v>0</v>
      </c>
      <c r="N60" s="16">
        <f t="shared" si="73"/>
        <v>0</v>
      </c>
      <c r="O60" s="16">
        <f t="shared" si="74"/>
        <v>0</v>
      </c>
      <c r="P60" s="16">
        <f t="shared" si="75"/>
        <v>0</v>
      </c>
      <c r="Q60" s="16">
        <f t="shared" si="76"/>
        <v>0</v>
      </c>
      <c r="R60" s="16">
        <f t="shared" si="77"/>
        <v>0</v>
      </c>
      <c r="S60" s="16">
        <f t="shared" si="78"/>
        <v>0</v>
      </c>
      <c r="T60" s="16">
        <f t="shared" si="79"/>
        <v>0</v>
      </c>
      <c r="U60" s="16">
        <f t="shared" si="80"/>
        <v>0</v>
      </c>
      <c r="V60" s="16">
        <f t="shared" si="81"/>
        <v>0</v>
      </c>
      <c r="W60" s="16">
        <f t="shared" si="82"/>
        <v>0</v>
      </c>
      <c r="X60" s="16">
        <f t="shared" si="83"/>
        <v>0</v>
      </c>
      <c r="Y60" s="16">
        <f t="shared" si="84"/>
        <v>0</v>
      </c>
      <c r="Z60" s="16">
        <f t="shared" si="85"/>
        <v>0</v>
      </c>
      <c r="AA60" s="16">
        <f t="shared" si="86"/>
        <v>0</v>
      </c>
      <c r="AB60" s="16">
        <f t="shared" si="87"/>
        <v>0</v>
      </c>
      <c r="AC60" s="16">
        <f t="shared" si="88"/>
        <v>0</v>
      </c>
      <c r="AD60" s="16">
        <f t="shared" si="89"/>
        <v>0</v>
      </c>
      <c r="AE60" s="16">
        <f t="shared" si="90"/>
        <v>0</v>
      </c>
      <c r="AF60" s="16">
        <f t="shared" si="91"/>
        <v>0</v>
      </c>
      <c r="AG60" s="16">
        <f t="shared" si="92"/>
        <v>0</v>
      </c>
      <c r="AH60" s="16">
        <f t="shared" si="93"/>
        <v>0</v>
      </c>
      <c r="AI60" s="16">
        <f t="shared" si="94"/>
        <v>0</v>
      </c>
      <c r="AJ60" s="16">
        <f t="shared" si="95"/>
        <v>0</v>
      </c>
      <c r="AK60" s="16"/>
      <c r="AL60" s="16"/>
      <c r="AM60" s="16">
        <f>IF(NOT(ISNUMBER('Registru mijloace fixe'!$R60)),0,MAX(0,MIN(((YEAR(LunaRef)-YEAR('Registru mijloace fixe'!$R60))*12+MONTH(LunaRef)-MONTH('Registru mijloace fixe'!$R60)+1)-1,IF(ISNUMBER('Registru mijloace fixe'!$N60),((YEAR('Registru mijloace fixe'!$N60)-YEAR('Registru mijloace fixe'!$R60))*12+MONTH('Registru mijloace fixe'!$N60)-MONTH('Registru mijloace fixe'!$R60)+1),9999),C60*12)))</f>
        <v>0</v>
      </c>
      <c r="AN60" s="27">
        <f>IF(NOT(ISNUMBER('Registru mijloace fixe'!$R60)),0,MAX(0,MIN(((YEAR(LunaRef)-YEAR('Registru mijloace fixe'!$R60))*12+MONTH(LunaRef)-MONTH('Registru mijloace fixe'!$R60)+1),IF(ISNUMBER('Registru mijloace fixe'!$N60),((YEAR('Registru mijloace fixe'!$N60)-YEAR('Registru mijloace fixe'!$R60))*12+MONTH('Registru mijloace fixe'!$N60)-MONTH('Registru mijloace fixe'!$R60)+1),9999),C60*12)))</f>
        <v>0</v>
      </c>
      <c r="AO60" s="16">
        <f t="shared" si="96"/>
        <v>0</v>
      </c>
      <c r="AP60" s="16">
        <f t="shared" si="97"/>
        <v>0</v>
      </c>
      <c r="AQ60" s="16">
        <f t="shared" si="98"/>
        <v>0</v>
      </c>
      <c r="AR60" s="16">
        <f t="shared" si="99"/>
        <v>0</v>
      </c>
      <c r="AS60" s="16">
        <f t="shared" si="100"/>
        <v>0</v>
      </c>
      <c r="AT60" s="16">
        <f t="shared" si="101"/>
        <v>0</v>
      </c>
      <c r="AU60" s="16">
        <f t="shared" si="102"/>
        <v>0</v>
      </c>
      <c r="AV60" s="16">
        <f t="shared" si="103"/>
        <v>0</v>
      </c>
      <c r="AW60" s="16">
        <f t="shared" si="104"/>
        <v>0</v>
      </c>
      <c r="AX60" s="16">
        <f t="shared" si="105"/>
        <v>0</v>
      </c>
      <c r="AY60" s="16">
        <f t="shared" si="106"/>
        <v>0</v>
      </c>
      <c r="AZ60" s="16">
        <f t="shared" si="107"/>
        <v>0</v>
      </c>
      <c r="BA60" s="16">
        <f t="shared" si="108"/>
        <v>0</v>
      </c>
      <c r="BB60" s="16">
        <f t="shared" si="109"/>
        <v>0</v>
      </c>
      <c r="BC60" s="16">
        <f t="shared" si="110"/>
        <v>0</v>
      </c>
      <c r="BD60" s="16">
        <f t="shared" si="111"/>
        <v>0</v>
      </c>
      <c r="BE60" s="16">
        <f t="shared" si="112"/>
        <v>0</v>
      </c>
      <c r="BF60" s="16">
        <f t="shared" si="113"/>
        <v>0</v>
      </c>
      <c r="BG60" s="16">
        <f t="shared" si="114"/>
        <v>0</v>
      </c>
      <c r="BH60" s="16">
        <f t="shared" si="115"/>
        <v>0</v>
      </c>
      <c r="BI60" s="16">
        <f t="shared" si="116"/>
        <v>0</v>
      </c>
      <c r="BJ60" s="16">
        <f t="shared" si="117"/>
        <v>0</v>
      </c>
      <c r="BK60" s="16">
        <f t="shared" si="118"/>
        <v>0</v>
      </c>
      <c r="BL60" s="16">
        <f t="shared" si="119"/>
        <v>0</v>
      </c>
      <c r="BM60" s="16">
        <f t="shared" si="120"/>
        <v>0</v>
      </c>
      <c r="BN60" s="16">
        <f t="shared" si="121"/>
        <v>0</v>
      </c>
      <c r="BO60" s="16">
        <f t="shared" si="122"/>
        <v>0</v>
      </c>
      <c r="BP60" s="16">
        <f t="shared" si="123"/>
        <v>0</v>
      </c>
      <c r="BQ60" s="16">
        <f t="shared" si="124"/>
        <v>0</v>
      </c>
      <c r="BR60" s="16">
        <f t="shared" si="125"/>
        <v>0</v>
      </c>
      <c r="BS60" s="16">
        <f t="shared" si="126"/>
        <v>0</v>
      </c>
      <c r="BT60" s="16">
        <f t="shared" si="127"/>
        <v>0</v>
      </c>
    </row>
    <row r="61" spans="2:72" x14ac:dyDescent="0.2">
      <c r="B61" s="16">
        <f>N('Registru mijloace fixe'!$I61)</f>
        <v>0</v>
      </c>
      <c r="C61" s="27">
        <f>N('Registru mijloace fixe'!$J61)</f>
        <v>0</v>
      </c>
      <c r="D61" s="16" t="str">
        <f>'Registru mijloace fixe'!$K61&amp;""</f>
        <v/>
      </c>
      <c r="E61" s="16">
        <f t="shared" si="64"/>
        <v>1.5</v>
      </c>
      <c r="F61" s="16">
        <f t="shared" si="65"/>
        <v>0.5</v>
      </c>
      <c r="G61" s="16">
        <f t="shared" si="66"/>
        <v>0</v>
      </c>
      <c r="H61" s="16">
        <f t="shared" si="67"/>
        <v>0</v>
      </c>
      <c r="I61" s="16">
        <f t="shared" si="68"/>
        <v>0</v>
      </c>
      <c r="J61" s="16">
        <f t="shared" si="69"/>
        <v>0</v>
      </c>
      <c r="K61" s="16">
        <f t="shared" si="70"/>
        <v>0</v>
      </c>
      <c r="L61" s="16">
        <f t="shared" si="71"/>
        <v>0</v>
      </c>
      <c r="M61" s="16">
        <f t="shared" si="72"/>
        <v>0</v>
      </c>
      <c r="N61" s="16">
        <f t="shared" si="73"/>
        <v>0</v>
      </c>
      <c r="O61" s="16">
        <f t="shared" si="74"/>
        <v>0</v>
      </c>
      <c r="P61" s="16">
        <f t="shared" si="75"/>
        <v>0</v>
      </c>
      <c r="Q61" s="16">
        <f t="shared" si="76"/>
        <v>0</v>
      </c>
      <c r="R61" s="16">
        <f t="shared" si="77"/>
        <v>0</v>
      </c>
      <c r="S61" s="16">
        <f t="shared" si="78"/>
        <v>0</v>
      </c>
      <c r="T61" s="16">
        <f t="shared" si="79"/>
        <v>0</v>
      </c>
      <c r="U61" s="16">
        <f t="shared" si="80"/>
        <v>0</v>
      </c>
      <c r="V61" s="16">
        <f t="shared" si="81"/>
        <v>0</v>
      </c>
      <c r="W61" s="16">
        <f t="shared" si="82"/>
        <v>0</v>
      </c>
      <c r="X61" s="16">
        <f t="shared" si="83"/>
        <v>0</v>
      </c>
      <c r="Y61" s="16">
        <f t="shared" si="84"/>
        <v>0</v>
      </c>
      <c r="Z61" s="16">
        <f t="shared" si="85"/>
        <v>0</v>
      </c>
      <c r="AA61" s="16">
        <f t="shared" si="86"/>
        <v>0</v>
      </c>
      <c r="AB61" s="16">
        <f t="shared" si="87"/>
        <v>0</v>
      </c>
      <c r="AC61" s="16">
        <f t="shared" si="88"/>
        <v>0</v>
      </c>
      <c r="AD61" s="16">
        <f t="shared" si="89"/>
        <v>0</v>
      </c>
      <c r="AE61" s="16">
        <f t="shared" si="90"/>
        <v>0</v>
      </c>
      <c r="AF61" s="16">
        <f t="shared" si="91"/>
        <v>0</v>
      </c>
      <c r="AG61" s="16">
        <f t="shared" si="92"/>
        <v>0</v>
      </c>
      <c r="AH61" s="16">
        <f t="shared" si="93"/>
        <v>0</v>
      </c>
      <c r="AI61" s="16">
        <f t="shared" si="94"/>
        <v>0</v>
      </c>
      <c r="AJ61" s="16">
        <f t="shared" si="95"/>
        <v>0</v>
      </c>
      <c r="AK61" s="16"/>
      <c r="AL61" s="16"/>
      <c r="AM61" s="16">
        <f>IF(NOT(ISNUMBER('Registru mijloace fixe'!$R61)),0,MAX(0,MIN(((YEAR(LunaRef)-YEAR('Registru mijloace fixe'!$R61))*12+MONTH(LunaRef)-MONTH('Registru mijloace fixe'!$R61)+1)-1,IF(ISNUMBER('Registru mijloace fixe'!$N61),((YEAR('Registru mijloace fixe'!$N61)-YEAR('Registru mijloace fixe'!$R61))*12+MONTH('Registru mijloace fixe'!$N61)-MONTH('Registru mijloace fixe'!$R61)+1),9999),C61*12)))</f>
        <v>0</v>
      </c>
      <c r="AN61" s="27">
        <f>IF(NOT(ISNUMBER('Registru mijloace fixe'!$R61)),0,MAX(0,MIN(((YEAR(LunaRef)-YEAR('Registru mijloace fixe'!$R61))*12+MONTH(LunaRef)-MONTH('Registru mijloace fixe'!$R61)+1),IF(ISNUMBER('Registru mijloace fixe'!$N61),((YEAR('Registru mijloace fixe'!$N61)-YEAR('Registru mijloace fixe'!$R61))*12+MONTH('Registru mijloace fixe'!$N61)-MONTH('Registru mijloace fixe'!$R61)+1),9999),C61*12)))</f>
        <v>0</v>
      </c>
      <c r="AO61" s="16">
        <f t="shared" si="96"/>
        <v>0</v>
      </c>
      <c r="AP61" s="16">
        <f t="shared" si="97"/>
        <v>0</v>
      </c>
      <c r="AQ61" s="16">
        <f t="shared" si="98"/>
        <v>0</v>
      </c>
      <c r="AR61" s="16">
        <f t="shared" si="99"/>
        <v>0</v>
      </c>
      <c r="AS61" s="16">
        <f t="shared" si="100"/>
        <v>0</v>
      </c>
      <c r="AT61" s="16">
        <f t="shared" si="101"/>
        <v>0</v>
      </c>
      <c r="AU61" s="16">
        <f t="shared" si="102"/>
        <v>0</v>
      </c>
      <c r="AV61" s="16">
        <f t="shared" si="103"/>
        <v>0</v>
      </c>
      <c r="AW61" s="16">
        <f t="shared" si="104"/>
        <v>0</v>
      </c>
      <c r="AX61" s="16">
        <f t="shared" si="105"/>
        <v>0</v>
      </c>
      <c r="AY61" s="16">
        <f t="shared" si="106"/>
        <v>0</v>
      </c>
      <c r="AZ61" s="16">
        <f t="shared" si="107"/>
        <v>0</v>
      </c>
      <c r="BA61" s="16">
        <f t="shared" si="108"/>
        <v>0</v>
      </c>
      <c r="BB61" s="16">
        <f t="shared" si="109"/>
        <v>0</v>
      </c>
      <c r="BC61" s="16">
        <f t="shared" si="110"/>
        <v>0</v>
      </c>
      <c r="BD61" s="16">
        <f t="shared" si="111"/>
        <v>0</v>
      </c>
      <c r="BE61" s="16">
        <f t="shared" si="112"/>
        <v>0</v>
      </c>
      <c r="BF61" s="16">
        <f t="shared" si="113"/>
        <v>0</v>
      </c>
      <c r="BG61" s="16">
        <f t="shared" si="114"/>
        <v>0</v>
      </c>
      <c r="BH61" s="16">
        <f t="shared" si="115"/>
        <v>0</v>
      </c>
      <c r="BI61" s="16">
        <f t="shared" si="116"/>
        <v>0</v>
      </c>
      <c r="BJ61" s="16">
        <f t="shared" si="117"/>
        <v>0</v>
      </c>
      <c r="BK61" s="16">
        <f t="shared" si="118"/>
        <v>0</v>
      </c>
      <c r="BL61" s="16">
        <f t="shared" si="119"/>
        <v>0</v>
      </c>
      <c r="BM61" s="16">
        <f t="shared" si="120"/>
        <v>0</v>
      </c>
      <c r="BN61" s="16">
        <f t="shared" si="121"/>
        <v>0</v>
      </c>
      <c r="BO61" s="16">
        <f t="shared" si="122"/>
        <v>0</v>
      </c>
      <c r="BP61" s="16">
        <f t="shared" si="123"/>
        <v>0</v>
      </c>
      <c r="BQ61" s="16">
        <f t="shared" si="124"/>
        <v>0</v>
      </c>
      <c r="BR61" s="16">
        <f t="shared" si="125"/>
        <v>0</v>
      </c>
      <c r="BS61" s="16">
        <f t="shared" si="126"/>
        <v>0</v>
      </c>
      <c r="BT61" s="16">
        <f t="shared" si="127"/>
        <v>0</v>
      </c>
    </row>
    <row r="62" spans="2:72" x14ac:dyDescent="0.2">
      <c r="B62" s="16">
        <f>N('Registru mijloace fixe'!$I62)</f>
        <v>0</v>
      </c>
      <c r="C62" s="27">
        <f>N('Registru mijloace fixe'!$J62)</f>
        <v>0</v>
      </c>
      <c r="D62" s="16" t="str">
        <f>'Registru mijloace fixe'!$K62&amp;""</f>
        <v/>
      </c>
      <c r="E62" s="16">
        <f t="shared" si="64"/>
        <v>1.5</v>
      </c>
      <c r="F62" s="16">
        <f t="shared" si="65"/>
        <v>0.5</v>
      </c>
      <c r="G62" s="16">
        <f t="shared" si="66"/>
        <v>0</v>
      </c>
      <c r="H62" s="16">
        <f t="shared" si="67"/>
        <v>0</v>
      </c>
      <c r="I62" s="16">
        <f t="shared" si="68"/>
        <v>0</v>
      </c>
      <c r="J62" s="16">
        <f t="shared" si="69"/>
        <v>0</v>
      </c>
      <c r="K62" s="16">
        <f t="shared" si="70"/>
        <v>0</v>
      </c>
      <c r="L62" s="16">
        <f t="shared" si="71"/>
        <v>0</v>
      </c>
      <c r="M62" s="16">
        <f t="shared" si="72"/>
        <v>0</v>
      </c>
      <c r="N62" s="16">
        <f t="shared" si="73"/>
        <v>0</v>
      </c>
      <c r="O62" s="16">
        <f t="shared" si="74"/>
        <v>0</v>
      </c>
      <c r="P62" s="16">
        <f t="shared" si="75"/>
        <v>0</v>
      </c>
      <c r="Q62" s="16">
        <f t="shared" si="76"/>
        <v>0</v>
      </c>
      <c r="R62" s="16">
        <f t="shared" si="77"/>
        <v>0</v>
      </c>
      <c r="S62" s="16">
        <f t="shared" si="78"/>
        <v>0</v>
      </c>
      <c r="T62" s="16">
        <f t="shared" si="79"/>
        <v>0</v>
      </c>
      <c r="U62" s="16">
        <f t="shared" si="80"/>
        <v>0</v>
      </c>
      <c r="V62" s="16">
        <f t="shared" si="81"/>
        <v>0</v>
      </c>
      <c r="W62" s="16">
        <f t="shared" si="82"/>
        <v>0</v>
      </c>
      <c r="X62" s="16">
        <f t="shared" si="83"/>
        <v>0</v>
      </c>
      <c r="Y62" s="16">
        <f t="shared" si="84"/>
        <v>0</v>
      </c>
      <c r="Z62" s="16">
        <f t="shared" si="85"/>
        <v>0</v>
      </c>
      <c r="AA62" s="16">
        <f t="shared" si="86"/>
        <v>0</v>
      </c>
      <c r="AB62" s="16">
        <f t="shared" si="87"/>
        <v>0</v>
      </c>
      <c r="AC62" s="16">
        <f t="shared" si="88"/>
        <v>0</v>
      </c>
      <c r="AD62" s="16">
        <f t="shared" si="89"/>
        <v>0</v>
      </c>
      <c r="AE62" s="16">
        <f t="shared" si="90"/>
        <v>0</v>
      </c>
      <c r="AF62" s="16">
        <f t="shared" si="91"/>
        <v>0</v>
      </c>
      <c r="AG62" s="16">
        <f t="shared" si="92"/>
        <v>0</v>
      </c>
      <c r="AH62" s="16">
        <f t="shared" si="93"/>
        <v>0</v>
      </c>
      <c r="AI62" s="16">
        <f t="shared" si="94"/>
        <v>0</v>
      </c>
      <c r="AJ62" s="16">
        <f t="shared" si="95"/>
        <v>0</v>
      </c>
      <c r="AK62" s="16"/>
      <c r="AL62" s="16"/>
      <c r="AM62" s="16">
        <f>IF(NOT(ISNUMBER('Registru mijloace fixe'!$R62)),0,MAX(0,MIN(((YEAR(LunaRef)-YEAR('Registru mijloace fixe'!$R62))*12+MONTH(LunaRef)-MONTH('Registru mijloace fixe'!$R62)+1)-1,IF(ISNUMBER('Registru mijloace fixe'!$N62),((YEAR('Registru mijloace fixe'!$N62)-YEAR('Registru mijloace fixe'!$R62))*12+MONTH('Registru mijloace fixe'!$N62)-MONTH('Registru mijloace fixe'!$R62)+1),9999),C62*12)))</f>
        <v>0</v>
      </c>
      <c r="AN62" s="27">
        <f>IF(NOT(ISNUMBER('Registru mijloace fixe'!$R62)),0,MAX(0,MIN(((YEAR(LunaRef)-YEAR('Registru mijloace fixe'!$R62))*12+MONTH(LunaRef)-MONTH('Registru mijloace fixe'!$R62)+1),IF(ISNUMBER('Registru mijloace fixe'!$N62),((YEAR('Registru mijloace fixe'!$N62)-YEAR('Registru mijloace fixe'!$R62))*12+MONTH('Registru mijloace fixe'!$N62)-MONTH('Registru mijloace fixe'!$R62)+1),9999),C62*12)))</f>
        <v>0</v>
      </c>
      <c r="AO62" s="16">
        <f t="shared" si="96"/>
        <v>0</v>
      </c>
      <c r="AP62" s="16">
        <f t="shared" si="97"/>
        <v>0</v>
      </c>
      <c r="AQ62" s="16">
        <f t="shared" si="98"/>
        <v>0</v>
      </c>
      <c r="AR62" s="16">
        <f t="shared" si="99"/>
        <v>0</v>
      </c>
      <c r="AS62" s="16">
        <f t="shared" si="100"/>
        <v>0</v>
      </c>
      <c r="AT62" s="16">
        <f t="shared" si="101"/>
        <v>0</v>
      </c>
      <c r="AU62" s="16">
        <f t="shared" si="102"/>
        <v>0</v>
      </c>
      <c r="AV62" s="16">
        <f t="shared" si="103"/>
        <v>0</v>
      </c>
      <c r="AW62" s="16">
        <f t="shared" si="104"/>
        <v>0</v>
      </c>
      <c r="AX62" s="16">
        <f t="shared" si="105"/>
        <v>0</v>
      </c>
      <c r="AY62" s="16">
        <f t="shared" si="106"/>
        <v>0</v>
      </c>
      <c r="AZ62" s="16">
        <f t="shared" si="107"/>
        <v>0</v>
      </c>
      <c r="BA62" s="16">
        <f t="shared" si="108"/>
        <v>0</v>
      </c>
      <c r="BB62" s="16">
        <f t="shared" si="109"/>
        <v>0</v>
      </c>
      <c r="BC62" s="16">
        <f t="shared" si="110"/>
        <v>0</v>
      </c>
      <c r="BD62" s="16">
        <f t="shared" si="111"/>
        <v>0</v>
      </c>
      <c r="BE62" s="16">
        <f t="shared" si="112"/>
        <v>0</v>
      </c>
      <c r="BF62" s="16">
        <f t="shared" si="113"/>
        <v>0</v>
      </c>
      <c r="BG62" s="16">
        <f t="shared" si="114"/>
        <v>0</v>
      </c>
      <c r="BH62" s="16">
        <f t="shared" si="115"/>
        <v>0</v>
      </c>
      <c r="BI62" s="16">
        <f t="shared" si="116"/>
        <v>0</v>
      </c>
      <c r="BJ62" s="16">
        <f t="shared" si="117"/>
        <v>0</v>
      </c>
      <c r="BK62" s="16">
        <f t="shared" si="118"/>
        <v>0</v>
      </c>
      <c r="BL62" s="16">
        <f t="shared" si="119"/>
        <v>0</v>
      </c>
      <c r="BM62" s="16">
        <f t="shared" si="120"/>
        <v>0</v>
      </c>
      <c r="BN62" s="16">
        <f t="shared" si="121"/>
        <v>0</v>
      </c>
      <c r="BO62" s="16">
        <f t="shared" si="122"/>
        <v>0</v>
      </c>
      <c r="BP62" s="16">
        <f t="shared" si="123"/>
        <v>0</v>
      </c>
      <c r="BQ62" s="16">
        <f t="shared" si="124"/>
        <v>0</v>
      </c>
      <c r="BR62" s="16">
        <f t="shared" si="125"/>
        <v>0</v>
      </c>
      <c r="BS62" s="16">
        <f t="shared" si="126"/>
        <v>0</v>
      </c>
      <c r="BT62" s="16">
        <f t="shared" si="127"/>
        <v>0</v>
      </c>
    </row>
    <row r="63" spans="2:72" x14ac:dyDescent="0.2">
      <c r="B63" s="16">
        <f>N('Registru mijloace fixe'!$I63)</f>
        <v>0</v>
      </c>
      <c r="C63" s="27">
        <f>N('Registru mijloace fixe'!$J63)</f>
        <v>0</v>
      </c>
      <c r="D63" s="16" t="str">
        <f>'Registru mijloace fixe'!$K63&amp;""</f>
        <v/>
      </c>
      <c r="E63" s="16">
        <f t="shared" si="64"/>
        <v>1.5</v>
      </c>
      <c r="F63" s="16">
        <f t="shared" si="65"/>
        <v>0.5</v>
      </c>
      <c r="G63" s="16">
        <f t="shared" si="66"/>
        <v>0</v>
      </c>
      <c r="H63" s="16">
        <f t="shared" si="67"/>
        <v>0</v>
      </c>
      <c r="I63" s="16">
        <f t="shared" si="68"/>
        <v>0</v>
      </c>
      <c r="J63" s="16">
        <f t="shared" si="69"/>
        <v>0</v>
      </c>
      <c r="K63" s="16">
        <f t="shared" si="70"/>
        <v>0</v>
      </c>
      <c r="L63" s="16">
        <f t="shared" si="71"/>
        <v>0</v>
      </c>
      <c r="M63" s="16">
        <f t="shared" si="72"/>
        <v>0</v>
      </c>
      <c r="N63" s="16">
        <f t="shared" si="73"/>
        <v>0</v>
      </c>
      <c r="O63" s="16">
        <f t="shared" si="74"/>
        <v>0</v>
      </c>
      <c r="P63" s="16">
        <f t="shared" si="75"/>
        <v>0</v>
      </c>
      <c r="Q63" s="16">
        <f t="shared" si="76"/>
        <v>0</v>
      </c>
      <c r="R63" s="16">
        <f t="shared" si="77"/>
        <v>0</v>
      </c>
      <c r="S63" s="16">
        <f t="shared" si="78"/>
        <v>0</v>
      </c>
      <c r="T63" s="16">
        <f t="shared" si="79"/>
        <v>0</v>
      </c>
      <c r="U63" s="16">
        <f t="shared" si="80"/>
        <v>0</v>
      </c>
      <c r="V63" s="16">
        <f t="shared" si="81"/>
        <v>0</v>
      </c>
      <c r="W63" s="16">
        <f t="shared" si="82"/>
        <v>0</v>
      </c>
      <c r="X63" s="16">
        <f t="shared" si="83"/>
        <v>0</v>
      </c>
      <c r="Y63" s="16">
        <f t="shared" si="84"/>
        <v>0</v>
      </c>
      <c r="Z63" s="16">
        <f t="shared" si="85"/>
        <v>0</v>
      </c>
      <c r="AA63" s="16">
        <f t="shared" si="86"/>
        <v>0</v>
      </c>
      <c r="AB63" s="16">
        <f t="shared" si="87"/>
        <v>0</v>
      </c>
      <c r="AC63" s="16">
        <f t="shared" si="88"/>
        <v>0</v>
      </c>
      <c r="AD63" s="16">
        <f t="shared" si="89"/>
        <v>0</v>
      </c>
      <c r="AE63" s="16">
        <f t="shared" si="90"/>
        <v>0</v>
      </c>
      <c r="AF63" s="16">
        <f t="shared" si="91"/>
        <v>0</v>
      </c>
      <c r="AG63" s="16">
        <f t="shared" si="92"/>
        <v>0</v>
      </c>
      <c r="AH63" s="16">
        <f t="shared" si="93"/>
        <v>0</v>
      </c>
      <c r="AI63" s="16">
        <f t="shared" si="94"/>
        <v>0</v>
      </c>
      <c r="AJ63" s="16">
        <f t="shared" si="95"/>
        <v>0</v>
      </c>
      <c r="AK63" s="16"/>
      <c r="AL63" s="16"/>
      <c r="AM63" s="16">
        <f>IF(NOT(ISNUMBER('Registru mijloace fixe'!$R63)),0,MAX(0,MIN(((YEAR(LunaRef)-YEAR('Registru mijloace fixe'!$R63))*12+MONTH(LunaRef)-MONTH('Registru mijloace fixe'!$R63)+1)-1,IF(ISNUMBER('Registru mijloace fixe'!$N63),((YEAR('Registru mijloace fixe'!$N63)-YEAR('Registru mijloace fixe'!$R63))*12+MONTH('Registru mijloace fixe'!$N63)-MONTH('Registru mijloace fixe'!$R63)+1),9999),C63*12)))</f>
        <v>0</v>
      </c>
      <c r="AN63" s="27">
        <f>IF(NOT(ISNUMBER('Registru mijloace fixe'!$R63)),0,MAX(0,MIN(((YEAR(LunaRef)-YEAR('Registru mijloace fixe'!$R63))*12+MONTH(LunaRef)-MONTH('Registru mijloace fixe'!$R63)+1),IF(ISNUMBER('Registru mijloace fixe'!$N63),((YEAR('Registru mijloace fixe'!$N63)-YEAR('Registru mijloace fixe'!$R63))*12+MONTH('Registru mijloace fixe'!$N63)-MONTH('Registru mijloace fixe'!$R63)+1),9999),C63*12)))</f>
        <v>0</v>
      </c>
      <c r="AO63" s="16">
        <f t="shared" si="96"/>
        <v>0</v>
      </c>
      <c r="AP63" s="16">
        <f t="shared" si="97"/>
        <v>0</v>
      </c>
      <c r="AQ63" s="16">
        <f t="shared" si="98"/>
        <v>0</v>
      </c>
      <c r="AR63" s="16">
        <f t="shared" si="99"/>
        <v>0</v>
      </c>
      <c r="AS63" s="16">
        <f t="shared" si="100"/>
        <v>0</v>
      </c>
      <c r="AT63" s="16">
        <f t="shared" si="101"/>
        <v>0</v>
      </c>
      <c r="AU63" s="16">
        <f t="shared" si="102"/>
        <v>0</v>
      </c>
      <c r="AV63" s="16">
        <f t="shared" si="103"/>
        <v>0</v>
      </c>
      <c r="AW63" s="16">
        <f t="shared" si="104"/>
        <v>0</v>
      </c>
      <c r="AX63" s="16">
        <f t="shared" si="105"/>
        <v>0</v>
      </c>
      <c r="AY63" s="16">
        <f t="shared" si="106"/>
        <v>0</v>
      </c>
      <c r="AZ63" s="16">
        <f t="shared" si="107"/>
        <v>0</v>
      </c>
      <c r="BA63" s="16">
        <f t="shared" si="108"/>
        <v>0</v>
      </c>
      <c r="BB63" s="16">
        <f t="shared" si="109"/>
        <v>0</v>
      </c>
      <c r="BC63" s="16">
        <f t="shared" si="110"/>
        <v>0</v>
      </c>
      <c r="BD63" s="16">
        <f t="shared" si="111"/>
        <v>0</v>
      </c>
      <c r="BE63" s="16">
        <f t="shared" si="112"/>
        <v>0</v>
      </c>
      <c r="BF63" s="16">
        <f t="shared" si="113"/>
        <v>0</v>
      </c>
      <c r="BG63" s="16">
        <f t="shared" si="114"/>
        <v>0</v>
      </c>
      <c r="BH63" s="16">
        <f t="shared" si="115"/>
        <v>0</v>
      </c>
      <c r="BI63" s="16">
        <f t="shared" si="116"/>
        <v>0</v>
      </c>
      <c r="BJ63" s="16">
        <f t="shared" si="117"/>
        <v>0</v>
      </c>
      <c r="BK63" s="16">
        <f t="shared" si="118"/>
        <v>0</v>
      </c>
      <c r="BL63" s="16">
        <f t="shared" si="119"/>
        <v>0</v>
      </c>
      <c r="BM63" s="16">
        <f t="shared" si="120"/>
        <v>0</v>
      </c>
      <c r="BN63" s="16">
        <f t="shared" si="121"/>
        <v>0</v>
      </c>
      <c r="BO63" s="16">
        <f t="shared" si="122"/>
        <v>0</v>
      </c>
      <c r="BP63" s="16">
        <f t="shared" si="123"/>
        <v>0</v>
      </c>
      <c r="BQ63" s="16">
        <f t="shared" si="124"/>
        <v>0</v>
      </c>
      <c r="BR63" s="16">
        <f t="shared" si="125"/>
        <v>0</v>
      </c>
      <c r="BS63" s="16">
        <f t="shared" si="126"/>
        <v>0</v>
      </c>
      <c r="BT63" s="16">
        <f t="shared" si="127"/>
        <v>0</v>
      </c>
    </row>
    <row r="64" spans="2:72" x14ac:dyDescent="0.2">
      <c r="B64" s="16">
        <f>N('Registru mijloace fixe'!$I64)</f>
        <v>0</v>
      </c>
      <c r="C64" s="27">
        <f>N('Registru mijloace fixe'!$J64)</f>
        <v>0</v>
      </c>
      <c r="D64" s="16" t="str">
        <f>'Registru mijloace fixe'!$K64&amp;""</f>
        <v/>
      </c>
      <c r="E64" s="16">
        <f t="shared" si="64"/>
        <v>1.5</v>
      </c>
      <c r="F64" s="16">
        <f t="shared" si="65"/>
        <v>0.5</v>
      </c>
      <c r="G64" s="16">
        <f t="shared" si="66"/>
        <v>0</v>
      </c>
      <c r="H64" s="16">
        <f t="shared" si="67"/>
        <v>0</v>
      </c>
      <c r="I64" s="16">
        <f t="shared" si="68"/>
        <v>0</v>
      </c>
      <c r="J64" s="16">
        <f t="shared" si="69"/>
        <v>0</v>
      </c>
      <c r="K64" s="16">
        <f t="shared" si="70"/>
        <v>0</v>
      </c>
      <c r="L64" s="16">
        <f t="shared" si="71"/>
        <v>0</v>
      </c>
      <c r="M64" s="16">
        <f t="shared" si="72"/>
        <v>0</v>
      </c>
      <c r="N64" s="16">
        <f t="shared" si="73"/>
        <v>0</v>
      </c>
      <c r="O64" s="16">
        <f t="shared" si="74"/>
        <v>0</v>
      </c>
      <c r="P64" s="16">
        <f t="shared" si="75"/>
        <v>0</v>
      </c>
      <c r="Q64" s="16">
        <f t="shared" si="76"/>
        <v>0</v>
      </c>
      <c r="R64" s="16">
        <f t="shared" si="77"/>
        <v>0</v>
      </c>
      <c r="S64" s="16">
        <f t="shared" si="78"/>
        <v>0</v>
      </c>
      <c r="T64" s="16">
        <f t="shared" si="79"/>
        <v>0</v>
      </c>
      <c r="U64" s="16">
        <f t="shared" si="80"/>
        <v>0</v>
      </c>
      <c r="V64" s="16">
        <f t="shared" si="81"/>
        <v>0</v>
      </c>
      <c r="W64" s="16">
        <f t="shared" si="82"/>
        <v>0</v>
      </c>
      <c r="X64" s="16">
        <f t="shared" si="83"/>
        <v>0</v>
      </c>
      <c r="Y64" s="16">
        <f t="shared" si="84"/>
        <v>0</v>
      </c>
      <c r="Z64" s="16">
        <f t="shared" si="85"/>
        <v>0</v>
      </c>
      <c r="AA64" s="16">
        <f t="shared" si="86"/>
        <v>0</v>
      </c>
      <c r="AB64" s="16">
        <f t="shared" si="87"/>
        <v>0</v>
      </c>
      <c r="AC64" s="16">
        <f t="shared" si="88"/>
        <v>0</v>
      </c>
      <c r="AD64" s="16">
        <f t="shared" si="89"/>
        <v>0</v>
      </c>
      <c r="AE64" s="16">
        <f t="shared" si="90"/>
        <v>0</v>
      </c>
      <c r="AF64" s="16">
        <f t="shared" si="91"/>
        <v>0</v>
      </c>
      <c r="AG64" s="16">
        <f t="shared" si="92"/>
        <v>0</v>
      </c>
      <c r="AH64" s="16">
        <f t="shared" si="93"/>
        <v>0</v>
      </c>
      <c r="AI64" s="16">
        <f t="shared" si="94"/>
        <v>0</v>
      </c>
      <c r="AJ64" s="16">
        <f t="shared" si="95"/>
        <v>0</v>
      </c>
      <c r="AK64" s="16"/>
      <c r="AL64" s="16"/>
      <c r="AM64" s="16">
        <f>IF(NOT(ISNUMBER('Registru mijloace fixe'!$R64)),0,MAX(0,MIN(((YEAR(LunaRef)-YEAR('Registru mijloace fixe'!$R64))*12+MONTH(LunaRef)-MONTH('Registru mijloace fixe'!$R64)+1)-1,IF(ISNUMBER('Registru mijloace fixe'!$N64),((YEAR('Registru mijloace fixe'!$N64)-YEAR('Registru mijloace fixe'!$R64))*12+MONTH('Registru mijloace fixe'!$N64)-MONTH('Registru mijloace fixe'!$R64)+1),9999),C64*12)))</f>
        <v>0</v>
      </c>
      <c r="AN64" s="27">
        <f>IF(NOT(ISNUMBER('Registru mijloace fixe'!$R64)),0,MAX(0,MIN(((YEAR(LunaRef)-YEAR('Registru mijloace fixe'!$R64))*12+MONTH(LunaRef)-MONTH('Registru mijloace fixe'!$R64)+1),IF(ISNUMBER('Registru mijloace fixe'!$N64),((YEAR('Registru mijloace fixe'!$N64)-YEAR('Registru mijloace fixe'!$R64))*12+MONTH('Registru mijloace fixe'!$N64)-MONTH('Registru mijloace fixe'!$R64)+1),9999),C64*12)))</f>
        <v>0</v>
      </c>
      <c r="AO64" s="16">
        <f t="shared" si="96"/>
        <v>0</v>
      </c>
      <c r="AP64" s="16">
        <f t="shared" si="97"/>
        <v>0</v>
      </c>
      <c r="AQ64" s="16">
        <f t="shared" si="98"/>
        <v>0</v>
      </c>
      <c r="AR64" s="16">
        <f t="shared" si="99"/>
        <v>0</v>
      </c>
      <c r="AS64" s="16">
        <f t="shared" si="100"/>
        <v>0</v>
      </c>
      <c r="AT64" s="16">
        <f t="shared" si="101"/>
        <v>0</v>
      </c>
      <c r="AU64" s="16">
        <f t="shared" si="102"/>
        <v>0</v>
      </c>
      <c r="AV64" s="16">
        <f t="shared" si="103"/>
        <v>0</v>
      </c>
      <c r="AW64" s="16">
        <f t="shared" si="104"/>
        <v>0</v>
      </c>
      <c r="AX64" s="16">
        <f t="shared" si="105"/>
        <v>0</v>
      </c>
      <c r="AY64" s="16">
        <f t="shared" si="106"/>
        <v>0</v>
      </c>
      <c r="AZ64" s="16">
        <f t="shared" si="107"/>
        <v>0</v>
      </c>
      <c r="BA64" s="16">
        <f t="shared" si="108"/>
        <v>0</v>
      </c>
      <c r="BB64" s="16">
        <f t="shared" si="109"/>
        <v>0</v>
      </c>
      <c r="BC64" s="16">
        <f t="shared" si="110"/>
        <v>0</v>
      </c>
      <c r="BD64" s="16">
        <f t="shared" si="111"/>
        <v>0</v>
      </c>
      <c r="BE64" s="16">
        <f t="shared" si="112"/>
        <v>0</v>
      </c>
      <c r="BF64" s="16">
        <f t="shared" si="113"/>
        <v>0</v>
      </c>
      <c r="BG64" s="16">
        <f t="shared" si="114"/>
        <v>0</v>
      </c>
      <c r="BH64" s="16">
        <f t="shared" si="115"/>
        <v>0</v>
      </c>
      <c r="BI64" s="16">
        <f t="shared" si="116"/>
        <v>0</v>
      </c>
      <c r="BJ64" s="16">
        <f t="shared" si="117"/>
        <v>0</v>
      </c>
      <c r="BK64" s="16">
        <f t="shared" si="118"/>
        <v>0</v>
      </c>
      <c r="BL64" s="16">
        <f t="shared" si="119"/>
        <v>0</v>
      </c>
      <c r="BM64" s="16">
        <f t="shared" si="120"/>
        <v>0</v>
      </c>
      <c r="BN64" s="16">
        <f t="shared" si="121"/>
        <v>0</v>
      </c>
      <c r="BO64" s="16">
        <f t="shared" si="122"/>
        <v>0</v>
      </c>
      <c r="BP64" s="16">
        <f t="shared" si="123"/>
        <v>0</v>
      </c>
      <c r="BQ64" s="16">
        <f t="shared" si="124"/>
        <v>0</v>
      </c>
      <c r="BR64" s="16">
        <f t="shared" si="125"/>
        <v>0</v>
      </c>
      <c r="BS64" s="16">
        <f t="shared" si="126"/>
        <v>0</v>
      </c>
      <c r="BT64" s="16">
        <f t="shared" si="127"/>
        <v>0</v>
      </c>
    </row>
    <row r="65" spans="2:72" x14ac:dyDescent="0.2">
      <c r="B65" s="16">
        <f>N('Registru mijloace fixe'!$I65)</f>
        <v>0</v>
      </c>
      <c r="C65" s="27">
        <f>N('Registru mijloace fixe'!$J65)</f>
        <v>0</v>
      </c>
      <c r="D65" s="16" t="str">
        <f>'Registru mijloace fixe'!$K65&amp;""</f>
        <v/>
      </c>
      <c r="E65" s="16">
        <f t="shared" si="64"/>
        <v>1.5</v>
      </c>
      <c r="F65" s="16">
        <f t="shared" si="65"/>
        <v>0.5</v>
      </c>
      <c r="G65" s="16">
        <f t="shared" si="66"/>
        <v>0</v>
      </c>
      <c r="H65" s="16">
        <f t="shared" si="67"/>
        <v>0</v>
      </c>
      <c r="I65" s="16">
        <f t="shared" si="68"/>
        <v>0</v>
      </c>
      <c r="J65" s="16">
        <f t="shared" si="69"/>
        <v>0</v>
      </c>
      <c r="K65" s="16">
        <f t="shared" si="70"/>
        <v>0</v>
      </c>
      <c r="L65" s="16">
        <f t="shared" si="71"/>
        <v>0</v>
      </c>
      <c r="M65" s="16">
        <f t="shared" si="72"/>
        <v>0</v>
      </c>
      <c r="N65" s="16">
        <f t="shared" si="73"/>
        <v>0</v>
      </c>
      <c r="O65" s="16">
        <f t="shared" si="74"/>
        <v>0</v>
      </c>
      <c r="P65" s="16">
        <f t="shared" si="75"/>
        <v>0</v>
      </c>
      <c r="Q65" s="16">
        <f t="shared" si="76"/>
        <v>0</v>
      </c>
      <c r="R65" s="16">
        <f t="shared" si="77"/>
        <v>0</v>
      </c>
      <c r="S65" s="16">
        <f t="shared" si="78"/>
        <v>0</v>
      </c>
      <c r="T65" s="16">
        <f t="shared" si="79"/>
        <v>0</v>
      </c>
      <c r="U65" s="16">
        <f t="shared" si="80"/>
        <v>0</v>
      </c>
      <c r="V65" s="16">
        <f t="shared" si="81"/>
        <v>0</v>
      </c>
      <c r="W65" s="16">
        <f t="shared" si="82"/>
        <v>0</v>
      </c>
      <c r="X65" s="16">
        <f t="shared" si="83"/>
        <v>0</v>
      </c>
      <c r="Y65" s="16">
        <f t="shared" si="84"/>
        <v>0</v>
      </c>
      <c r="Z65" s="16">
        <f t="shared" si="85"/>
        <v>0</v>
      </c>
      <c r="AA65" s="16">
        <f t="shared" si="86"/>
        <v>0</v>
      </c>
      <c r="AB65" s="16">
        <f t="shared" si="87"/>
        <v>0</v>
      </c>
      <c r="AC65" s="16">
        <f t="shared" si="88"/>
        <v>0</v>
      </c>
      <c r="AD65" s="16">
        <f t="shared" si="89"/>
        <v>0</v>
      </c>
      <c r="AE65" s="16">
        <f t="shared" si="90"/>
        <v>0</v>
      </c>
      <c r="AF65" s="16">
        <f t="shared" si="91"/>
        <v>0</v>
      </c>
      <c r="AG65" s="16">
        <f t="shared" si="92"/>
        <v>0</v>
      </c>
      <c r="AH65" s="16">
        <f t="shared" si="93"/>
        <v>0</v>
      </c>
      <c r="AI65" s="16">
        <f t="shared" si="94"/>
        <v>0</v>
      </c>
      <c r="AJ65" s="16">
        <f t="shared" si="95"/>
        <v>0</v>
      </c>
      <c r="AK65" s="16"/>
      <c r="AL65" s="16"/>
      <c r="AM65" s="16">
        <f>IF(NOT(ISNUMBER('Registru mijloace fixe'!$R65)),0,MAX(0,MIN(((YEAR(LunaRef)-YEAR('Registru mijloace fixe'!$R65))*12+MONTH(LunaRef)-MONTH('Registru mijloace fixe'!$R65)+1)-1,IF(ISNUMBER('Registru mijloace fixe'!$N65),((YEAR('Registru mijloace fixe'!$N65)-YEAR('Registru mijloace fixe'!$R65))*12+MONTH('Registru mijloace fixe'!$N65)-MONTH('Registru mijloace fixe'!$R65)+1),9999),C65*12)))</f>
        <v>0</v>
      </c>
      <c r="AN65" s="27">
        <f>IF(NOT(ISNUMBER('Registru mijloace fixe'!$R65)),0,MAX(0,MIN(((YEAR(LunaRef)-YEAR('Registru mijloace fixe'!$R65))*12+MONTH(LunaRef)-MONTH('Registru mijloace fixe'!$R65)+1),IF(ISNUMBER('Registru mijloace fixe'!$N65),((YEAR('Registru mijloace fixe'!$N65)-YEAR('Registru mijloace fixe'!$R65))*12+MONTH('Registru mijloace fixe'!$N65)-MONTH('Registru mijloace fixe'!$R65)+1),9999),C65*12)))</f>
        <v>0</v>
      </c>
      <c r="AO65" s="16">
        <f t="shared" si="96"/>
        <v>0</v>
      </c>
      <c r="AP65" s="16">
        <f t="shared" si="97"/>
        <v>0</v>
      </c>
      <c r="AQ65" s="16">
        <f t="shared" si="98"/>
        <v>0</v>
      </c>
      <c r="AR65" s="16">
        <f t="shared" si="99"/>
        <v>0</v>
      </c>
      <c r="AS65" s="16">
        <f t="shared" si="100"/>
        <v>0</v>
      </c>
      <c r="AT65" s="16">
        <f t="shared" si="101"/>
        <v>0</v>
      </c>
      <c r="AU65" s="16">
        <f t="shared" si="102"/>
        <v>0</v>
      </c>
      <c r="AV65" s="16">
        <f t="shared" si="103"/>
        <v>0</v>
      </c>
      <c r="AW65" s="16">
        <f t="shared" si="104"/>
        <v>0</v>
      </c>
      <c r="AX65" s="16">
        <f t="shared" si="105"/>
        <v>0</v>
      </c>
      <c r="AY65" s="16">
        <f t="shared" si="106"/>
        <v>0</v>
      </c>
      <c r="AZ65" s="16">
        <f t="shared" si="107"/>
        <v>0</v>
      </c>
      <c r="BA65" s="16">
        <f t="shared" si="108"/>
        <v>0</v>
      </c>
      <c r="BB65" s="16">
        <f t="shared" si="109"/>
        <v>0</v>
      </c>
      <c r="BC65" s="16">
        <f t="shared" si="110"/>
        <v>0</v>
      </c>
      <c r="BD65" s="16">
        <f t="shared" si="111"/>
        <v>0</v>
      </c>
      <c r="BE65" s="16">
        <f t="shared" si="112"/>
        <v>0</v>
      </c>
      <c r="BF65" s="16">
        <f t="shared" si="113"/>
        <v>0</v>
      </c>
      <c r="BG65" s="16">
        <f t="shared" si="114"/>
        <v>0</v>
      </c>
      <c r="BH65" s="16">
        <f t="shared" si="115"/>
        <v>0</v>
      </c>
      <c r="BI65" s="16">
        <f t="shared" si="116"/>
        <v>0</v>
      </c>
      <c r="BJ65" s="16">
        <f t="shared" si="117"/>
        <v>0</v>
      </c>
      <c r="BK65" s="16">
        <f t="shared" si="118"/>
        <v>0</v>
      </c>
      <c r="BL65" s="16">
        <f t="shared" si="119"/>
        <v>0</v>
      </c>
      <c r="BM65" s="16">
        <f t="shared" si="120"/>
        <v>0</v>
      </c>
      <c r="BN65" s="16">
        <f t="shared" si="121"/>
        <v>0</v>
      </c>
      <c r="BO65" s="16">
        <f t="shared" si="122"/>
        <v>0</v>
      </c>
      <c r="BP65" s="16">
        <f t="shared" si="123"/>
        <v>0</v>
      </c>
      <c r="BQ65" s="16">
        <f t="shared" si="124"/>
        <v>0</v>
      </c>
      <c r="BR65" s="16">
        <f t="shared" si="125"/>
        <v>0</v>
      </c>
      <c r="BS65" s="16">
        <f t="shared" si="126"/>
        <v>0</v>
      </c>
      <c r="BT65" s="16">
        <f t="shared" si="127"/>
        <v>0</v>
      </c>
    </row>
    <row r="66" spans="2:72" x14ac:dyDescent="0.2">
      <c r="B66" s="16">
        <f>N('Registru mijloace fixe'!$I66)</f>
        <v>0</v>
      </c>
      <c r="C66" s="27">
        <f>N('Registru mijloace fixe'!$J66)</f>
        <v>0</v>
      </c>
      <c r="D66" s="16" t="str">
        <f>'Registru mijloace fixe'!$K66&amp;""</f>
        <v/>
      </c>
      <c r="E66" s="16">
        <f t="shared" si="64"/>
        <v>1.5</v>
      </c>
      <c r="F66" s="16">
        <f t="shared" si="65"/>
        <v>0.5</v>
      </c>
      <c r="G66" s="16">
        <f t="shared" si="66"/>
        <v>0</v>
      </c>
      <c r="H66" s="16">
        <f t="shared" si="67"/>
        <v>0</v>
      </c>
      <c r="I66" s="16">
        <f t="shared" si="68"/>
        <v>0</v>
      </c>
      <c r="J66" s="16">
        <f t="shared" si="69"/>
        <v>0</v>
      </c>
      <c r="K66" s="16">
        <f t="shared" si="70"/>
        <v>0</v>
      </c>
      <c r="L66" s="16">
        <f t="shared" si="71"/>
        <v>0</v>
      </c>
      <c r="M66" s="16">
        <f t="shared" si="72"/>
        <v>0</v>
      </c>
      <c r="N66" s="16">
        <f t="shared" si="73"/>
        <v>0</v>
      </c>
      <c r="O66" s="16">
        <f t="shared" si="74"/>
        <v>0</v>
      </c>
      <c r="P66" s="16">
        <f t="shared" si="75"/>
        <v>0</v>
      </c>
      <c r="Q66" s="16">
        <f t="shared" si="76"/>
        <v>0</v>
      </c>
      <c r="R66" s="16">
        <f t="shared" si="77"/>
        <v>0</v>
      </c>
      <c r="S66" s="16">
        <f t="shared" si="78"/>
        <v>0</v>
      </c>
      <c r="T66" s="16">
        <f t="shared" si="79"/>
        <v>0</v>
      </c>
      <c r="U66" s="16">
        <f t="shared" si="80"/>
        <v>0</v>
      </c>
      <c r="V66" s="16">
        <f t="shared" si="81"/>
        <v>0</v>
      </c>
      <c r="W66" s="16">
        <f t="shared" si="82"/>
        <v>0</v>
      </c>
      <c r="X66" s="16">
        <f t="shared" si="83"/>
        <v>0</v>
      </c>
      <c r="Y66" s="16">
        <f t="shared" si="84"/>
        <v>0</v>
      </c>
      <c r="Z66" s="16">
        <f t="shared" si="85"/>
        <v>0</v>
      </c>
      <c r="AA66" s="16">
        <f t="shared" si="86"/>
        <v>0</v>
      </c>
      <c r="AB66" s="16">
        <f t="shared" si="87"/>
        <v>0</v>
      </c>
      <c r="AC66" s="16">
        <f t="shared" si="88"/>
        <v>0</v>
      </c>
      <c r="AD66" s="16">
        <f t="shared" si="89"/>
        <v>0</v>
      </c>
      <c r="AE66" s="16">
        <f t="shared" si="90"/>
        <v>0</v>
      </c>
      <c r="AF66" s="16">
        <f t="shared" si="91"/>
        <v>0</v>
      </c>
      <c r="AG66" s="16">
        <f t="shared" si="92"/>
        <v>0</v>
      </c>
      <c r="AH66" s="16">
        <f t="shared" si="93"/>
        <v>0</v>
      </c>
      <c r="AI66" s="16">
        <f t="shared" si="94"/>
        <v>0</v>
      </c>
      <c r="AJ66" s="16">
        <f t="shared" si="95"/>
        <v>0</v>
      </c>
      <c r="AK66" s="16"/>
      <c r="AL66" s="16"/>
      <c r="AM66" s="16">
        <f>IF(NOT(ISNUMBER('Registru mijloace fixe'!$R66)),0,MAX(0,MIN(((YEAR(LunaRef)-YEAR('Registru mijloace fixe'!$R66))*12+MONTH(LunaRef)-MONTH('Registru mijloace fixe'!$R66)+1)-1,IF(ISNUMBER('Registru mijloace fixe'!$N66),((YEAR('Registru mijloace fixe'!$N66)-YEAR('Registru mijloace fixe'!$R66))*12+MONTH('Registru mijloace fixe'!$N66)-MONTH('Registru mijloace fixe'!$R66)+1),9999),C66*12)))</f>
        <v>0</v>
      </c>
      <c r="AN66" s="27">
        <f>IF(NOT(ISNUMBER('Registru mijloace fixe'!$R66)),0,MAX(0,MIN(((YEAR(LunaRef)-YEAR('Registru mijloace fixe'!$R66))*12+MONTH(LunaRef)-MONTH('Registru mijloace fixe'!$R66)+1),IF(ISNUMBER('Registru mijloace fixe'!$N66),((YEAR('Registru mijloace fixe'!$N66)-YEAR('Registru mijloace fixe'!$R66))*12+MONTH('Registru mijloace fixe'!$N66)-MONTH('Registru mijloace fixe'!$R66)+1),9999),C66*12)))</f>
        <v>0</v>
      </c>
      <c r="AO66" s="16">
        <f t="shared" si="96"/>
        <v>0</v>
      </c>
      <c r="AP66" s="16">
        <f t="shared" si="97"/>
        <v>0</v>
      </c>
      <c r="AQ66" s="16">
        <f t="shared" si="98"/>
        <v>0</v>
      </c>
      <c r="AR66" s="16">
        <f t="shared" si="99"/>
        <v>0</v>
      </c>
      <c r="AS66" s="16">
        <f t="shared" si="100"/>
        <v>0</v>
      </c>
      <c r="AT66" s="16">
        <f t="shared" si="101"/>
        <v>0</v>
      </c>
      <c r="AU66" s="16">
        <f t="shared" si="102"/>
        <v>0</v>
      </c>
      <c r="AV66" s="16">
        <f t="shared" si="103"/>
        <v>0</v>
      </c>
      <c r="AW66" s="16">
        <f t="shared" si="104"/>
        <v>0</v>
      </c>
      <c r="AX66" s="16">
        <f t="shared" si="105"/>
        <v>0</v>
      </c>
      <c r="AY66" s="16">
        <f t="shared" si="106"/>
        <v>0</v>
      </c>
      <c r="AZ66" s="16">
        <f t="shared" si="107"/>
        <v>0</v>
      </c>
      <c r="BA66" s="16">
        <f t="shared" si="108"/>
        <v>0</v>
      </c>
      <c r="BB66" s="16">
        <f t="shared" si="109"/>
        <v>0</v>
      </c>
      <c r="BC66" s="16">
        <f t="shared" si="110"/>
        <v>0</v>
      </c>
      <c r="BD66" s="16">
        <f t="shared" si="111"/>
        <v>0</v>
      </c>
      <c r="BE66" s="16">
        <f t="shared" si="112"/>
        <v>0</v>
      </c>
      <c r="BF66" s="16">
        <f t="shared" si="113"/>
        <v>0</v>
      </c>
      <c r="BG66" s="16">
        <f t="shared" si="114"/>
        <v>0</v>
      </c>
      <c r="BH66" s="16">
        <f t="shared" si="115"/>
        <v>0</v>
      </c>
      <c r="BI66" s="16">
        <f t="shared" si="116"/>
        <v>0</v>
      </c>
      <c r="BJ66" s="16">
        <f t="shared" si="117"/>
        <v>0</v>
      </c>
      <c r="BK66" s="16">
        <f t="shared" si="118"/>
        <v>0</v>
      </c>
      <c r="BL66" s="16">
        <f t="shared" si="119"/>
        <v>0</v>
      </c>
      <c r="BM66" s="16">
        <f t="shared" si="120"/>
        <v>0</v>
      </c>
      <c r="BN66" s="16">
        <f t="shared" si="121"/>
        <v>0</v>
      </c>
      <c r="BO66" s="16">
        <f t="shared" si="122"/>
        <v>0</v>
      </c>
      <c r="BP66" s="16">
        <f t="shared" si="123"/>
        <v>0</v>
      </c>
      <c r="BQ66" s="16">
        <f t="shared" si="124"/>
        <v>0</v>
      </c>
      <c r="BR66" s="16">
        <f t="shared" si="125"/>
        <v>0</v>
      </c>
      <c r="BS66" s="16">
        <f t="shared" si="126"/>
        <v>0</v>
      </c>
      <c r="BT66" s="16">
        <f t="shared" si="127"/>
        <v>0</v>
      </c>
    </row>
    <row r="67" spans="2:72" x14ac:dyDescent="0.2">
      <c r="B67" s="16">
        <f>N('Registru mijloace fixe'!$I67)</f>
        <v>0</v>
      </c>
      <c r="C67" s="27">
        <f>N('Registru mijloace fixe'!$J67)</f>
        <v>0</v>
      </c>
      <c r="D67" s="16" t="str">
        <f>'Registru mijloace fixe'!$K67&amp;""</f>
        <v/>
      </c>
      <c r="E67" s="16">
        <f t="shared" si="64"/>
        <v>1.5</v>
      </c>
      <c r="F67" s="16">
        <f t="shared" si="65"/>
        <v>0.5</v>
      </c>
      <c r="G67" s="16">
        <f t="shared" si="66"/>
        <v>0</v>
      </c>
      <c r="H67" s="16">
        <f t="shared" si="67"/>
        <v>0</v>
      </c>
      <c r="I67" s="16">
        <f t="shared" si="68"/>
        <v>0</v>
      </c>
      <c r="J67" s="16">
        <f t="shared" si="69"/>
        <v>0</v>
      </c>
      <c r="K67" s="16">
        <f t="shared" si="70"/>
        <v>0</v>
      </c>
      <c r="L67" s="16">
        <f t="shared" si="71"/>
        <v>0</v>
      </c>
      <c r="M67" s="16">
        <f t="shared" si="72"/>
        <v>0</v>
      </c>
      <c r="N67" s="16">
        <f t="shared" si="73"/>
        <v>0</v>
      </c>
      <c r="O67" s="16">
        <f t="shared" si="74"/>
        <v>0</v>
      </c>
      <c r="P67" s="16">
        <f t="shared" si="75"/>
        <v>0</v>
      </c>
      <c r="Q67" s="16">
        <f t="shared" si="76"/>
        <v>0</v>
      </c>
      <c r="R67" s="16">
        <f t="shared" si="77"/>
        <v>0</v>
      </c>
      <c r="S67" s="16">
        <f t="shared" si="78"/>
        <v>0</v>
      </c>
      <c r="T67" s="16">
        <f t="shared" si="79"/>
        <v>0</v>
      </c>
      <c r="U67" s="16">
        <f t="shared" si="80"/>
        <v>0</v>
      </c>
      <c r="V67" s="16">
        <f t="shared" si="81"/>
        <v>0</v>
      </c>
      <c r="W67" s="16">
        <f t="shared" si="82"/>
        <v>0</v>
      </c>
      <c r="X67" s="16">
        <f t="shared" si="83"/>
        <v>0</v>
      </c>
      <c r="Y67" s="16">
        <f t="shared" si="84"/>
        <v>0</v>
      </c>
      <c r="Z67" s="16">
        <f t="shared" si="85"/>
        <v>0</v>
      </c>
      <c r="AA67" s="16">
        <f t="shared" si="86"/>
        <v>0</v>
      </c>
      <c r="AB67" s="16">
        <f t="shared" si="87"/>
        <v>0</v>
      </c>
      <c r="AC67" s="16">
        <f t="shared" si="88"/>
        <v>0</v>
      </c>
      <c r="AD67" s="16">
        <f t="shared" si="89"/>
        <v>0</v>
      </c>
      <c r="AE67" s="16">
        <f t="shared" si="90"/>
        <v>0</v>
      </c>
      <c r="AF67" s="16">
        <f t="shared" si="91"/>
        <v>0</v>
      </c>
      <c r="AG67" s="16">
        <f t="shared" si="92"/>
        <v>0</v>
      </c>
      <c r="AH67" s="16">
        <f t="shared" si="93"/>
        <v>0</v>
      </c>
      <c r="AI67" s="16">
        <f t="shared" si="94"/>
        <v>0</v>
      </c>
      <c r="AJ67" s="16">
        <f t="shared" si="95"/>
        <v>0</v>
      </c>
      <c r="AK67" s="16"/>
      <c r="AL67" s="16"/>
      <c r="AM67" s="16">
        <f>IF(NOT(ISNUMBER('Registru mijloace fixe'!$R67)),0,MAX(0,MIN(((YEAR(LunaRef)-YEAR('Registru mijloace fixe'!$R67))*12+MONTH(LunaRef)-MONTH('Registru mijloace fixe'!$R67)+1)-1,IF(ISNUMBER('Registru mijloace fixe'!$N67),((YEAR('Registru mijloace fixe'!$N67)-YEAR('Registru mijloace fixe'!$R67))*12+MONTH('Registru mijloace fixe'!$N67)-MONTH('Registru mijloace fixe'!$R67)+1),9999),C67*12)))</f>
        <v>0</v>
      </c>
      <c r="AN67" s="27">
        <f>IF(NOT(ISNUMBER('Registru mijloace fixe'!$R67)),0,MAX(0,MIN(((YEAR(LunaRef)-YEAR('Registru mijloace fixe'!$R67))*12+MONTH(LunaRef)-MONTH('Registru mijloace fixe'!$R67)+1),IF(ISNUMBER('Registru mijloace fixe'!$N67),((YEAR('Registru mijloace fixe'!$N67)-YEAR('Registru mijloace fixe'!$R67))*12+MONTH('Registru mijloace fixe'!$N67)-MONTH('Registru mijloace fixe'!$R67)+1),9999),C67*12)))</f>
        <v>0</v>
      </c>
      <c r="AO67" s="16">
        <f t="shared" si="96"/>
        <v>0</v>
      </c>
      <c r="AP67" s="16">
        <f t="shared" si="97"/>
        <v>0</v>
      </c>
      <c r="AQ67" s="16">
        <f t="shared" si="98"/>
        <v>0</v>
      </c>
      <c r="AR67" s="16">
        <f t="shared" si="99"/>
        <v>0</v>
      </c>
      <c r="AS67" s="16">
        <f t="shared" si="100"/>
        <v>0</v>
      </c>
      <c r="AT67" s="16">
        <f t="shared" si="101"/>
        <v>0</v>
      </c>
      <c r="AU67" s="16">
        <f t="shared" si="102"/>
        <v>0</v>
      </c>
      <c r="AV67" s="16">
        <f t="shared" si="103"/>
        <v>0</v>
      </c>
      <c r="AW67" s="16">
        <f t="shared" si="104"/>
        <v>0</v>
      </c>
      <c r="AX67" s="16">
        <f t="shared" si="105"/>
        <v>0</v>
      </c>
      <c r="AY67" s="16">
        <f t="shared" si="106"/>
        <v>0</v>
      </c>
      <c r="AZ67" s="16">
        <f t="shared" si="107"/>
        <v>0</v>
      </c>
      <c r="BA67" s="16">
        <f t="shared" si="108"/>
        <v>0</v>
      </c>
      <c r="BB67" s="16">
        <f t="shared" si="109"/>
        <v>0</v>
      </c>
      <c r="BC67" s="16">
        <f t="shared" si="110"/>
        <v>0</v>
      </c>
      <c r="BD67" s="16">
        <f t="shared" si="111"/>
        <v>0</v>
      </c>
      <c r="BE67" s="16">
        <f t="shared" si="112"/>
        <v>0</v>
      </c>
      <c r="BF67" s="16">
        <f t="shared" si="113"/>
        <v>0</v>
      </c>
      <c r="BG67" s="16">
        <f t="shared" si="114"/>
        <v>0</v>
      </c>
      <c r="BH67" s="16">
        <f t="shared" si="115"/>
        <v>0</v>
      </c>
      <c r="BI67" s="16">
        <f t="shared" si="116"/>
        <v>0</v>
      </c>
      <c r="BJ67" s="16">
        <f t="shared" si="117"/>
        <v>0</v>
      </c>
      <c r="BK67" s="16">
        <f t="shared" si="118"/>
        <v>0</v>
      </c>
      <c r="BL67" s="16">
        <f t="shared" si="119"/>
        <v>0</v>
      </c>
      <c r="BM67" s="16">
        <f t="shared" si="120"/>
        <v>0</v>
      </c>
      <c r="BN67" s="16">
        <f t="shared" si="121"/>
        <v>0</v>
      </c>
      <c r="BO67" s="16">
        <f t="shared" si="122"/>
        <v>0</v>
      </c>
      <c r="BP67" s="16">
        <f t="shared" si="123"/>
        <v>0</v>
      </c>
      <c r="BQ67" s="16">
        <f t="shared" si="124"/>
        <v>0</v>
      </c>
      <c r="BR67" s="16">
        <f t="shared" si="125"/>
        <v>0</v>
      </c>
      <c r="BS67" s="16">
        <f t="shared" si="126"/>
        <v>0</v>
      </c>
      <c r="BT67" s="16">
        <f t="shared" si="127"/>
        <v>0</v>
      </c>
    </row>
    <row r="68" spans="2:72" x14ac:dyDescent="0.2">
      <c r="B68" s="16">
        <f>N('Registru mijloace fixe'!$I68)</f>
        <v>0</v>
      </c>
      <c r="C68" s="27">
        <f>N('Registru mijloace fixe'!$J68)</f>
        <v>0</v>
      </c>
      <c r="D68" s="16" t="str">
        <f>'Registru mijloace fixe'!$K68&amp;""</f>
        <v/>
      </c>
      <c r="E68" s="16">
        <f t="shared" si="64"/>
        <v>1.5</v>
      </c>
      <c r="F68" s="16">
        <f t="shared" si="65"/>
        <v>0.5</v>
      </c>
      <c r="G68" s="16">
        <f t="shared" si="66"/>
        <v>0</v>
      </c>
      <c r="H68" s="16">
        <f t="shared" si="67"/>
        <v>0</v>
      </c>
      <c r="I68" s="16">
        <f t="shared" si="68"/>
        <v>0</v>
      </c>
      <c r="J68" s="16">
        <f t="shared" si="69"/>
        <v>0</v>
      </c>
      <c r="K68" s="16">
        <f t="shared" si="70"/>
        <v>0</v>
      </c>
      <c r="L68" s="16">
        <f t="shared" si="71"/>
        <v>0</v>
      </c>
      <c r="M68" s="16">
        <f t="shared" si="72"/>
        <v>0</v>
      </c>
      <c r="N68" s="16">
        <f t="shared" si="73"/>
        <v>0</v>
      </c>
      <c r="O68" s="16">
        <f t="shared" si="74"/>
        <v>0</v>
      </c>
      <c r="P68" s="16">
        <f t="shared" si="75"/>
        <v>0</v>
      </c>
      <c r="Q68" s="16">
        <f t="shared" si="76"/>
        <v>0</v>
      </c>
      <c r="R68" s="16">
        <f t="shared" si="77"/>
        <v>0</v>
      </c>
      <c r="S68" s="16">
        <f t="shared" si="78"/>
        <v>0</v>
      </c>
      <c r="T68" s="16">
        <f t="shared" si="79"/>
        <v>0</v>
      </c>
      <c r="U68" s="16">
        <f t="shared" si="80"/>
        <v>0</v>
      </c>
      <c r="V68" s="16">
        <f t="shared" si="81"/>
        <v>0</v>
      </c>
      <c r="W68" s="16">
        <f t="shared" si="82"/>
        <v>0</v>
      </c>
      <c r="X68" s="16">
        <f t="shared" si="83"/>
        <v>0</v>
      </c>
      <c r="Y68" s="16">
        <f t="shared" si="84"/>
        <v>0</v>
      </c>
      <c r="Z68" s="16">
        <f t="shared" si="85"/>
        <v>0</v>
      </c>
      <c r="AA68" s="16">
        <f t="shared" si="86"/>
        <v>0</v>
      </c>
      <c r="AB68" s="16">
        <f t="shared" si="87"/>
        <v>0</v>
      </c>
      <c r="AC68" s="16">
        <f t="shared" si="88"/>
        <v>0</v>
      </c>
      <c r="AD68" s="16">
        <f t="shared" si="89"/>
        <v>0</v>
      </c>
      <c r="AE68" s="16">
        <f t="shared" si="90"/>
        <v>0</v>
      </c>
      <c r="AF68" s="16">
        <f t="shared" si="91"/>
        <v>0</v>
      </c>
      <c r="AG68" s="16">
        <f t="shared" si="92"/>
        <v>0</v>
      </c>
      <c r="AH68" s="16">
        <f t="shared" si="93"/>
        <v>0</v>
      </c>
      <c r="AI68" s="16">
        <f t="shared" si="94"/>
        <v>0</v>
      </c>
      <c r="AJ68" s="16">
        <f t="shared" si="95"/>
        <v>0</v>
      </c>
      <c r="AK68" s="16"/>
      <c r="AL68" s="16"/>
      <c r="AM68" s="16">
        <f>IF(NOT(ISNUMBER('Registru mijloace fixe'!$R68)),0,MAX(0,MIN(((YEAR(LunaRef)-YEAR('Registru mijloace fixe'!$R68))*12+MONTH(LunaRef)-MONTH('Registru mijloace fixe'!$R68)+1)-1,IF(ISNUMBER('Registru mijloace fixe'!$N68),((YEAR('Registru mijloace fixe'!$N68)-YEAR('Registru mijloace fixe'!$R68))*12+MONTH('Registru mijloace fixe'!$N68)-MONTH('Registru mijloace fixe'!$R68)+1),9999),C68*12)))</f>
        <v>0</v>
      </c>
      <c r="AN68" s="27">
        <f>IF(NOT(ISNUMBER('Registru mijloace fixe'!$R68)),0,MAX(0,MIN(((YEAR(LunaRef)-YEAR('Registru mijloace fixe'!$R68))*12+MONTH(LunaRef)-MONTH('Registru mijloace fixe'!$R68)+1),IF(ISNUMBER('Registru mijloace fixe'!$N68),((YEAR('Registru mijloace fixe'!$N68)-YEAR('Registru mijloace fixe'!$R68))*12+MONTH('Registru mijloace fixe'!$N68)-MONTH('Registru mijloace fixe'!$R68)+1),9999),C68*12)))</f>
        <v>0</v>
      </c>
      <c r="AO68" s="16">
        <f t="shared" si="96"/>
        <v>0</v>
      </c>
      <c r="AP68" s="16">
        <f t="shared" si="97"/>
        <v>0</v>
      </c>
      <c r="AQ68" s="16">
        <f t="shared" si="98"/>
        <v>0</v>
      </c>
      <c r="AR68" s="16">
        <f t="shared" si="99"/>
        <v>0</v>
      </c>
      <c r="AS68" s="16">
        <f t="shared" si="100"/>
        <v>0</v>
      </c>
      <c r="AT68" s="16">
        <f t="shared" si="101"/>
        <v>0</v>
      </c>
      <c r="AU68" s="16">
        <f t="shared" si="102"/>
        <v>0</v>
      </c>
      <c r="AV68" s="16">
        <f t="shared" si="103"/>
        <v>0</v>
      </c>
      <c r="AW68" s="16">
        <f t="shared" si="104"/>
        <v>0</v>
      </c>
      <c r="AX68" s="16">
        <f t="shared" si="105"/>
        <v>0</v>
      </c>
      <c r="AY68" s="16">
        <f t="shared" si="106"/>
        <v>0</v>
      </c>
      <c r="AZ68" s="16">
        <f t="shared" si="107"/>
        <v>0</v>
      </c>
      <c r="BA68" s="16">
        <f t="shared" si="108"/>
        <v>0</v>
      </c>
      <c r="BB68" s="16">
        <f t="shared" si="109"/>
        <v>0</v>
      </c>
      <c r="BC68" s="16">
        <f t="shared" si="110"/>
        <v>0</v>
      </c>
      <c r="BD68" s="16">
        <f t="shared" si="111"/>
        <v>0</v>
      </c>
      <c r="BE68" s="16">
        <f t="shared" si="112"/>
        <v>0</v>
      </c>
      <c r="BF68" s="16">
        <f t="shared" si="113"/>
        <v>0</v>
      </c>
      <c r="BG68" s="16">
        <f t="shared" si="114"/>
        <v>0</v>
      </c>
      <c r="BH68" s="16">
        <f t="shared" si="115"/>
        <v>0</v>
      </c>
      <c r="BI68" s="16">
        <f t="shared" si="116"/>
        <v>0</v>
      </c>
      <c r="BJ68" s="16">
        <f t="shared" si="117"/>
        <v>0</v>
      </c>
      <c r="BK68" s="16">
        <f t="shared" si="118"/>
        <v>0</v>
      </c>
      <c r="BL68" s="16">
        <f t="shared" si="119"/>
        <v>0</v>
      </c>
      <c r="BM68" s="16">
        <f t="shared" si="120"/>
        <v>0</v>
      </c>
      <c r="BN68" s="16">
        <f t="shared" si="121"/>
        <v>0</v>
      </c>
      <c r="BO68" s="16">
        <f t="shared" si="122"/>
        <v>0</v>
      </c>
      <c r="BP68" s="16">
        <f t="shared" si="123"/>
        <v>0</v>
      </c>
      <c r="BQ68" s="16">
        <f t="shared" si="124"/>
        <v>0</v>
      </c>
      <c r="BR68" s="16">
        <f t="shared" si="125"/>
        <v>0</v>
      </c>
      <c r="BS68" s="16">
        <f t="shared" si="126"/>
        <v>0</v>
      </c>
      <c r="BT68" s="16">
        <f t="shared" si="127"/>
        <v>0</v>
      </c>
    </row>
    <row r="69" spans="2:72" x14ac:dyDescent="0.2">
      <c r="B69" s="16">
        <f>N('Registru mijloace fixe'!$I69)</f>
        <v>0</v>
      </c>
      <c r="C69" s="27">
        <f>N('Registru mijloace fixe'!$J69)</f>
        <v>0</v>
      </c>
      <c r="D69" s="16" t="str">
        <f>'Registru mijloace fixe'!$K69&amp;""</f>
        <v/>
      </c>
      <c r="E69" s="16">
        <f t="shared" ref="E69:E104" si="128">IF(C69&lt;=5,1.5,IF(C69&lt;=10,2,2.5))</f>
        <v>1.5</v>
      </c>
      <c r="F69" s="16">
        <f t="shared" ref="F69:F104" si="129">IF(D69="Superaccelerată (2026)",0.65,0.5)</f>
        <v>0.5</v>
      </c>
      <c r="G69" s="16">
        <f t="shared" ref="G69:G104" si="130">IF(OR($B69&lt;=0,$C69&lt;1),0,IF($B69&lt;0.005,0,IF(($C69-1+1)&lt;=1,$B69,IF($D69="Degresivă",MIN($B69,MAX($B69*$E69/$C69,$B69/($C69-1+1))),IF(OR($D69="Accelerată",$D69="Superaccelerată (2026)"),IF(1=1,$B69*$F69,$B69/($C69-1+1)),MIN($B69/$C69,$B69))))))</f>
        <v>0</v>
      </c>
      <c r="H69" s="16">
        <f t="shared" ref="H69:H104" si="131">IF(OR($B69&lt;=0,$C69&lt;2),0,IF(($B69-AQ69)&lt;0.005,0,IF(($C69-2+1)&lt;=1,($B69-AQ69),IF($D69="Degresivă",MIN(($B69-AQ69),MAX(($B69-AQ69)*$E69/$C69,($B69-AQ69)/($C69-2+1))),IF(OR($D69="Accelerată",$D69="Superaccelerată (2026)"),IF(2=1,$B69*$F69,($B69-AQ69)/($C69-2+1)),MIN($B69/$C69,($B69-AQ69)))))))</f>
        <v>0</v>
      </c>
      <c r="I69" s="16">
        <f t="shared" ref="I69:I104" si="132">IF(OR($B69&lt;=0,$C69&lt;3),0,IF(($B69-AR69)&lt;0.005,0,IF(($C69-3+1)&lt;=1,($B69-AR69),IF($D69="Degresivă",MIN(($B69-AR69),MAX(($B69-AR69)*$E69/$C69,($B69-AR69)/($C69-3+1))),IF(OR($D69="Accelerată",$D69="Superaccelerată (2026)"),IF(3=1,$B69*$F69,($B69-AR69)/($C69-3+1)),MIN($B69/$C69,($B69-AR69)))))))</f>
        <v>0</v>
      </c>
      <c r="J69" s="16">
        <f t="shared" ref="J69:J104" si="133">IF(OR($B69&lt;=0,$C69&lt;4),0,IF(($B69-AS69)&lt;0.005,0,IF(($C69-4+1)&lt;=1,($B69-AS69),IF($D69="Degresivă",MIN(($B69-AS69),MAX(($B69-AS69)*$E69/$C69,($B69-AS69)/($C69-4+1))),IF(OR($D69="Accelerată",$D69="Superaccelerată (2026)"),IF(4=1,$B69*$F69,($B69-AS69)/($C69-4+1)),MIN($B69/$C69,($B69-AS69)))))))</f>
        <v>0</v>
      </c>
      <c r="K69" s="16">
        <f t="shared" ref="K69:K104" si="134">IF(OR($B69&lt;=0,$C69&lt;5),0,IF(($B69-AT69)&lt;0.005,0,IF(($C69-5+1)&lt;=1,($B69-AT69),IF($D69="Degresivă",MIN(($B69-AT69),MAX(($B69-AT69)*$E69/$C69,($B69-AT69)/($C69-5+1))),IF(OR($D69="Accelerată",$D69="Superaccelerată (2026)"),IF(5=1,$B69*$F69,($B69-AT69)/($C69-5+1)),MIN($B69/$C69,($B69-AT69)))))))</f>
        <v>0</v>
      </c>
      <c r="L69" s="16">
        <f t="shared" ref="L69:L104" si="135">IF(OR($B69&lt;=0,$C69&lt;6),0,IF(($B69-AU69)&lt;0.005,0,IF(($C69-6+1)&lt;=1,($B69-AU69),IF($D69="Degresivă",MIN(($B69-AU69),MAX(($B69-AU69)*$E69/$C69,($B69-AU69)/($C69-6+1))),IF(OR($D69="Accelerată",$D69="Superaccelerată (2026)"),IF(6=1,$B69*$F69,($B69-AU69)/($C69-6+1)),MIN($B69/$C69,($B69-AU69)))))))</f>
        <v>0</v>
      </c>
      <c r="M69" s="16">
        <f t="shared" ref="M69:M104" si="136">IF(OR($B69&lt;=0,$C69&lt;7),0,IF(($B69-AV69)&lt;0.005,0,IF(($C69-7+1)&lt;=1,($B69-AV69),IF($D69="Degresivă",MIN(($B69-AV69),MAX(($B69-AV69)*$E69/$C69,($B69-AV69)/($C69-7+1))),IF(OR($D69="Accelerată",$D69="Superaccelerată (2026)"),IF(7=1,$B69*$F69,($B69-AV69)/($C69-7+1)),MIN($B69/$C69,($B69-AV69)))))))</f>
        <v>0</v>
      </c>
      <c r="N69" s="16">
        <f t="shared" ref="N69:N104" si="137">IF(OR($B69&lt;=0,$C69&lt;8),0,IF(($B69-AW69)&lt;0.005,0,IF(($C69-8+1)&lt;=1,($B69-AW69),IF($D69="Degresivă",MIN(($B69-AW69),MAX(($B69-AW69)*$E69/$C69,($B69-AW69)/($C69-8+1))),IF(OR($D69="Accelerată",$D69="Superaccelerată (2026)"),IF(8=1,$B69*$F69,($B69-AW69)/($C69-8+1)),MIN($B69/$C69,($B69-AW69)))))))</f>
        <v>0</v>
      </c>
      <c r="O69" s="16">
        <f t="shared" ref="O69:O104" si="138">IF(OR($B69&lt;=0,$C69&lt;9),0,IF(($B69-AX69)&lt;0.005,0,IF(($C69-9+1)&lt;=1,($B69-AX69),IF($D69="Degresivă",MIN(($B69-AX69),MAX(($B69-AX69)*$E69/$C69,($B69-AX69)/($C69-9+1))),IF(OR($D69="Accelerată",$D69="Superaccelerată (2026)"),IF(9=1,$B69*$F69,($B69-AX69)/($C69-9+1)),MIN($B69/$C69,($B69-AX69)))))))</f>
        <v>0</v>
      </c>
      <c r="P69" s="16">
        <f t="shared" ref="P69:P104" si="139">IF(OR($B69&lt;=0,$C69&lt;10),0,IF(($B69-AY69)&lt;0.005,0,IF(($C69-10+1)&lt;=1,($B69-AY69),IF($D69="Degresivă",MIN(($B69-AY69),MAX(($B69-AY69)*$E69/$C69,($B69-AY69)/($C69-10+1))),IF(OR($D69="Accelerată",$D69="Superaccelerată (2026)"),IF(10=1,$B69*$F69,($B69-AY69)/($C69-10+1)),MIN($B69/$C69,($B69-AY69)))))))</f>
        <v>0</v>
      </c>
      <c r="Q69" s="16">
        <f t="shared" ref="Q69:Q104" si="140">IF(OR($B69&lt;=0,$C69&lt;11),0,IF(($B69-AZ69)&lt;0.005,0,IF(($C69-11+1)&lt;=1,($B69-AZ69),IF($D69="Degresivă",MIN(($B69-AZ69),MAX(($B69-AZ69)*$E69/$C69,($B69-AZ69)/($C69-11+1))),IF(OR($D69="Accelerată",$D69="Superaccelerată (2026)"),IF(11=1,$B69*$F69,($B69-AZ69)/($C69-11+1)),MIN($B69/$C69,($B69-AZ69)))))))</f>
        <v>0</v>
      </c>
      <c r="R69" s="16">
        <f t="shared" ref="R69:R104" si="141">IF(OR($B69&lt;=0,$C69&lt;12),0,IF(($B69-BA69)&lt;0.005,0,IF(($C69-12+1)&lt;=1,($B69-BA69),IF($D69="Degresivă",MIN(($B69-BA69),MAX(($B69-BA69)*$E69/$C69,($B69-BA69)/($C69-12+1))),IF(OR($D69="Accelerată",$D69="Superaccelerată (2026)"),IF(12=1,$B69*$F69,($B69-BA69)/($C69-12+1)),MIN($B69/$C69,($B69-BA69)))))))</f>
        <v>0</v>
      </c>
      <c r="S69" s="16">
        <f t="shared" ref="S69:S104" si="142">IF(OR($B69&lt;=0,$C69&lt;13),0,IF(($B69-BB69)&lt;0.005,0,IF(($C69-13+1)&lt;=1,($B69-BB69),IF($D69="Degresivă",MIN(($B69-BB69),MAX(($B69-BB69)*$E69/$C69,($B69-BB69)/($C69-13+1))),IF(OR($D69="Accelerată",$D69="Superaccelerată (2026)"),IF(13=1,$B69*$F69,($B69-BB69)/($C69-13+1)),MIN($B69/$C69,($B69-BB69)))))))</f>
        <v>0</v>
      </c>
      <c r="T69" s="16">
        <f t="shared" ref="T69:T104" si="143">IF(OR($B69&lt;=0,$C69&lt;14),0,IF(($B69-BC69)&lt;0.005,0,IF(($C69-14+1)&lt;=1,($B69-BC69),IF($D69="Degresivă",MIN(($B69-BC69),MAX(($B69-BC69)*$E69/$C69,($B69-BC69)/($C69-14+1))),IF(OR($D69="Accelerată",$D69="Superaccelerată (2026)"),IF(14=1,$B69*$F69,($B69-BC69)/($C69-14+1)),MIN($B69/$C69,($B69-BC69)))))))</f>
        <v>0</v>
      </c>
      <c r="U69" s="16">
        <f t="shared" ref="U69:U104" si="144">IF(OR($B69&lt;=0,$C69&lt;15),0,IF(($B69-BD69)&lt;0.005,0,IF(($C69-15+1)&lt;=1,($B69-BD69),IF($D69="Degresivă",MIN(($B69-BD69),MAX(($B69-BD69)*$E69/$C69,($B69-BD69)/($C69-15+1))),IF(OR($D69="Accelerată",$D69="Superaccelerată (2026)"),IF(15=1,$B69*$F69,($B69-BD69)/($C69-15+1)),MIN($B69/$C69,($B69-BD69)))))))</f>
        <v>0</v>
      </c>
      <c r="V69" s="16">
        <f t="shared" ref="V69:V104" si="145">IF(OR($B69&lt;=0,$C69&lt;16),0,IF(($B69-BE69)&lt;0.005,0,IF(($C69-16+1)&lt;=1,($B69-BE69),IF($D69="Degresivă",MIN(($B69-BE69),MAX(($B69-BE69)*$E69/$C69,($B69-BE69)/($C69-16+1))),IF(OR($D69="Accelerată",$D69="Superaccelerată (2026)"),IF(16=1,$B69*$F69,($B69-BE69)/($C69-16+1)),MIN($B69/$C69,($B69-BE69)))))))</f>
        <v>0</v>
      </c>
      <c r="W69" s="16">
        <f t="shared" ref="W69:W104" si="146">IF(OR($B69&lt;=0,$C69&lt;17),0,IF(($B69-BF69)&lt;0.005,0,IF(($C69-17+1)&lt;=1,($B69-BF69),IF($D69="Degresivă",MIN(($B69-BF69),MAX(($B69-BF69)*$E69/$C69,($B69-BF69)/($C69-17+1))),IF(OR($D69="Accelerată",$D69="Superaccelerată (2026)"),IF(17=1,$B69*$F69,($B69-BF69)/($C69-17+1)),MIN($B69/$C69,($B69-BF69)))))))</f>
        <v>0</v>
      </c>
      <c r="X69" s="16">
        <f t="shared" ref="X69:X104" si="147">IF(OR($B69&lt;=0,$C69&lt;18),0,IF(($B69-BG69)&lt;0.005,0,IF(($C69-18+1)&lt;=1,($B69-BG69),IF($D69="Degresivă",MIN(($B69-BG69),MAX(($B69-BG69)*$E69/$C69,($B69-BG69)/($C69-18+1))),IF(OR($D69="Accelerată",$D69="Superaccelerată (2026)"),IF(18=1,$B69*$F69,($B69-BG69)/($C69-18+1)),MIN($B69/$C69,($B69-BG69)))))))</f>
        <v>0</v>
      </c>
      <c r="Y69" s="16">
        <f t="shared" ref="Y69:Y104" si="148">IF(OR($B69&lt;=0,$C69&lt;19),0,IF(($B69-BH69)&lt;0.005,0,IF(($C69-19+1)&lt;=1,($B69-BH69),IF($D69="Degresivă",MIN(($B69-BH69),MAX(($B69-BH69)*$E69/$C69,($B69-BH69)/($C69-19+1))),IF(OR($D69="Accelerată",$D69="Superaccelerată (2026)"),IF(19=1,$B69*$F69,($B69-BH69)/($C69-19+1)),MIN($B69/$C69,($B69-BH69)))))))</f>
        <v>0</v>
      </c>
      <c r="Z69" s="16">
        <f t="shared" ref="Z69:Z104" si="149">IF(OR($B69&lt;=0,$C69&lt;20),0,IF(($B69-BI69)&lt;0.005,0,IF(($C69-20+1)&lt;=1,($B69-BI69),IF($D69="Degresivă",MIN(($B69-BI69),MAX(($B69-BI69)*$E69/$C69,($B69-BI69)/($C69-20+1))),IF(OR($D69="Accelerată",$D69="Superaccelerată (2026)"),IF(20=1,$B69*$F69,($B69-BI69)/($C69-20+1)),MIN($B69/$C69,($B69-BI69)))))))</f>
        <v>0</v>
      </c>
      <c r="AA69" s="16">
        <f t="shared" ref="AA69:AA104" si="150">IF(OR($B69&lt;=0,$C69&lt;21),0,IF(($B69-BJ69)&lt;0.005,0,IF(($C69-21+1)&lt;=1,($B69-BJ69),IF($D69="Degresivă",MIN(($B69-BJ69),MAX(($B69-BJ69)*$E69/$C69,($B69-BJ69)/($C69-21+1))),IF(OR($D69="Accelerată",$D69="Superaccelerată (2026)"),IF(21=1,$B69*$F69,($B69-BJ69)/($C69-21+1)),MIN($B69/$C69,($B69-BJ69)))))))</f>
        <v>0</v>
      </c>
      <c r="AB69" s="16">
        <f t="shared" ref="AB69:AB104" si="151">IF(OR($B69&lt;=0,$C69&lt;22),0,IF(($B69-BK69)&lt;0.005,0,IF(($C69-22+1)&lt;=1,($B69-BK69),IF($D69="Degresivă",MIN(($B69-BK69),MAX(($B69-BK69)*$E69/$C69,($B69-BK69)/($C69-22+1))),IF(OR($D69="Accelerată",$D69="Superaccelerată (2026)"),IF(22=1,$B69*$F69,($B69-BK69)/($C69-22+1)),MIN($B69/$C69,($B69-BK69)))))))</f>
        <v>0</v>
      </c>
      <c r="AC69" s="16">
        <f t="shared" ref="AC69:AC104" si="152">IF(OR($B69&lt;=0,$C69&lt;23),0,IF(($B69-BL69)&lt;0.005,0,IF(($C69-23+1)&lt;=1,($B69-BL69),IF($D69="Degresivă",MIN(($B69-BL69),MAX(($B69-BL69)*$E69/$C69,($B69-BL69)/($C69-23+1))),IF(OR($D69="Accelerată",$D69="Superaccelerată (2026)"),IF(23=1,$B69*$F69,($B69-BL69)/($C69-23+1)),MIN($B69/$C69,($B69-BL69)))))))</f>
        <v>0</v>
      </c>
      <c r="AD69" s="16">
        <f t="shared" ref="AD69:AD104" si="153">IF(OR($B69&lt;=0,$C69&lt;24),0,IF(($B69-BM69)&lt;0.005,0,IF(($C69-24+1)&lt;=1,($B69-BM69),IF($D69="Degresivă",MIN(($B69-BM69),MAX(($B69-BM69)*$E69/$C69,($B69-BM69)/($C69-24+1))),IF(OR($D69="Accelerată",$D69="Superaccelerată (2026)"),IF(24=1,$B69*$F69,($B69-BM69)/($C69-24+1)),MIN($B69/$C69,($B69-BM69)))))))</f>
        <v>0</v>
      </c>
      <c r="AE69" s="16">
        <f t="shared" ref="AE69:AE104" si="154">IF(OR($B69&lt;=0,$C69&lt;25),0,IF(($B69-BN69)&lt;0.005,0,IF(($C69-25+1)&lt;=1,($B69-BN69),IF($D69="Degresivă",MIN(($B69-BN69),MAX(($B69-BN69)*$E69/$C69,($B69-BN69)/($C69-25+1))),IF(OR($D69="Accelerată",$D69="Superaccelerată (2026)"),IF(25=1,$B69*$F69,($B69-BN69)/($C69-25+1)),MIN($B69/$C69,($B69-BN69)))))))</f>
        <v>0</v>
      </c>
      <c r="AF69" s="16">
        <f t="shared" ref="AF69:AF104" si="155">IF(OR($B69&lt;=0,$C69&lt;26),0,IF(($B69-BO69)&lt;0.005,0,IF(($C69-26+1)&lt;=1,($B69-BO69),IF($D69="Degresivă",MIN(($B69-BO69),MAX(($B69-BO69)*$E69/$C69,($B69-BO69)/($C69-26+1))),IF(OR($D69="Accelerată",$D69="Superaccelerată (2026)"),IF(26=1,$B69*$F69,($B69-BO69)/($C69-26+1)),MIN($B69/$C69,($B69-BO69)))))))</f>
        <v>0</v>
      </c>
      <c r="AG69" s="16">
        <f t="shared" ref="AG69:AG104" si="156">IF(OR($B69&lt;=0,$C69&lt;27),0,IF(($B69-BP69)&lt;0.005,0,IF(($C69-27+1)&lt;=1,($B69-BP69),IF($D69="Degresivă",MIN(($B69-BP69),MAX(($B69-BP69)*$E69/$C69,($B69-BP69)/($C69-27+1))),IF(OR($D69="Accelerată",$D69="Superaccelerată (2026)"),IF(27=1,$B69*$F69,($B69-BP69)/($C69-27+1)),MIN($B69/$C69,($B69-BP69)))))))</f>
        <v>0</v>
      </c>
      <c r="AH69" s="16">
        <f t="shared" ref="AH69:AH104" si="157">IF(OR($B69&lt;=0,$C69&lt;28),0,IF(($B69-BQ69)&lt;0.005,0,IF(($C69-28+1)&lt;=1,($B69-BQ69),IF($D69="Degresivă",MIN(($B69-BQ69),MAX(($B69-BQ69)*$E69/$C69,($B69-BQ69)/($C69-28+1))),IF(OR($D69="Accelerată",$D69="Superaccelerată (2026)"),IF(28=1,$B69*$F69,($B69-BQ69)/($C69-28+1)),MIN($B69/$C69,($B69-BQ69)))))))</f>
        <v>0</v>
      </c>
      <c r="AI69" s="16">
        <f t="shared" ref="AI69:AI104" si="158">IF(OR($B69&lt;=0,$C69&lt;29),0,IF(($B69-BR69)&lt;0.005,0,IF(($C69-29+1)&lt;=1,($B69-BR69),IF($D69="Degresivă",MIN(($B69-BR69),MAX(($B69-BR69)*$E69/$C69,($B69-BR69)/($C69-29+1))),IF(OR($D69="Accelerată",$D69="Superaccelerată (2026)"),IF(29=1,$B69*$F69,($B69-BR69)/($C69-29+1)),MIN($B69/$C69,($B69-BR69)))))))</f>
        <v>0</v>
      </c>
      <c r="AJ69" s="16">
        <f t="shared" ref="AJ69:AJ104" si="159">IF(OR($B69&lt;=0,$C69&lt;30),0,IF(($B69-BS69)&lt;0.005,0,IF(($C69-30+1)&lt;=1,($B69-BS69),IF($D69="Degresivă",MIN(($B69-BS69),MAX(($B69-BS69)*$E69/$C69,($B69-BS69)/($C69-30+1))),IF(OR($D69="Accelerată",$D69="Superaccelerată (2026)"),IF(30=1,$B69*$F69,($B69-BS69)/($C69-30+1)),MIN($B69/$C69,($B69-BS69)))))))</f>
        <v>0</v>
      </c>
      <c r="AK69" s="16"/>
      <c r="AL69" s="16"/>
      <c r="AM69" s="16">
        <f>IF(NOT(ISNUMBER('Registru mijloace fixe'!$R69)),0,MAX(0,MIN(((YEAR(LunaRef)-YEAR('Registru mijloace fixe'!$R69))*12+MONTH(LunaRef)-MONTH('Registru mijloace fixe'!$R69)+1)-1,IF(ISNUMBER('Registru mijloace fixe'!$N69),((YEAR('Registru mijloace fixe'!$N69)-YEAR('Registru mijloace fixe'!$R69))*12+MONTH('Registru mijloace fixe'!$N69)-MONTH('Registru mijloace fixe'!$R69)+1),9999),C69*12)))</f>
        <v>0</v>
      </c>
      <c r="AN69" s="27">
        <f>IF(NOT(ISNUMBER('Registru mijloace fixe'!$R69)),0,MAX(0,MIN(((YEAR(LunaRef)-YEAR('Registru mijloace fixe'!$R69))*12+MONTH(LunaRef)-MONTH('Registru mijloace fixe'!$R69)+1),IF(ISNUMBER('Registru mijloace fixe'!$N69),((YEAR('Registru mijloace fixe'!$N69)-YEAR('Registru mijloace fixe'!$R69))*12+MONTH('Registru mijloace fixe'!$N69)-MONTH('Registru mijloace fixe'!$R69)+1),9999),C69*12)))</f>
        <v>0</v>
      </c>
      <c r="AO69" s="16">
        <f t="shared" ref="AO69:AO100" si="160">IF((AN69)&lt;=0,0,IF($D69="Liniară",MIN($B69,$B69*(AN69)/($C69*12)),MIN($B69,IF(INT((AN69)/12)=0,0,INDEX($AQ69:$BT69,MIN(INT((AN69)/12),30)))+IF(INT((AN69)/12)&gt;=30,0,MOD((AN69),12)/12*INDEX($G69:$AJ69,INT((AN69)/12)+1)))))</f>
        <v>0</v>
      </c>
      <c r="AP69" s="16">
        <f t="shared" ref="AP69:AP104" si="161">IF((AM69)&lt;=0,0,IF($D69="Liniară",MIN($B69,$B69*(AM69)/($C69*12)),MIN($B69,IF(INT((AM69)/12)=0,0,INDEX($AQ69:$BT69,MIN(INT((AM69)/12),30)))+IF(INT((AM69)/12)&gt;=30,0,MOD((AM69),12)/12*INDEX($G69:$AJ69,INT((AM69)/12)+1)))))</f>
        <v>0</v>
      </c>
      <c r="AQ69" s="16">
        <f t="shared" ref="AQ69:AQ104" si="162">G69</f>
        <v>0</v>
      </c>
      <c r="AR69" s="16">
        <f t="shared" ref="AR69:AR100" si="163">AQ69+H69</f>
        <v>0</v>
      </c>
      <c r="AS69" s="16">
        <f t="shared" ref="AS69:AS100" si="164">AR69+I69</f>
        <v>0</v>
      </c>
      <c r="AT69" s="16">
        <f t="shared" ref="AT69:AT100" si="165">AS69+J69</f>
        <v>0</v>
      </c>
      <c r="AU69" s="16">
        <f t="shared" ref="AU69:AU100" si="166">AT69+K69</f>
        <v>0</v>
      </c>
      <c r="AV69" s="16">
        <f t="shared" ref="AV69:AV100" si="167">AU69+L69</f>
        <v>0</v>
      </c>
      <c r="AW69" s="16">
        <f t="shared" ref="AW69:AW100" si="168">AV69+M69</f>
        <v>0</v>
      </c>
      <c r="AX69" s="16">
        <f t="shared" ref="AX69:AX100" si="169">AW69+N69</f>
        <v>0</v>
      </c>
      <c r="AY69" s="16">
        <f t="shared" ref="AY69:AY100" si="170">AX69+O69</f>
        <v>0</v>
      </c>
      <c r="AZ69" s="16">
        <f t="shared" ref="AZ69:AZ100" si="171">AY69+P69</f>
        <v>0</v>
      </c>
      <c r="BA69" s="16">
        <f t="shared" ref="BA69:BA100" si="172">AZ69+Q69</f>
        <v>0</v>
      </c>
      <c r="BB69" s="16">
        <f t="shared" ref="BB69:BB100" si="173">BA69+R69</f>
        <v>0</v>
      </c>
      <c r="BC69" s="16">
        <f t="shared" ref="BC69:BC100" si="174">BB69+S69</f>
        <v>0</v>
      </c>
      <c r="BD69" s="16">
        <f t="shared" ref="BD69:BD100" si="175">BC69+T69</f>
        <v>0</v>
      </c>
      <c r="BE69" s="16">
        <f t="shared" ref="BE69:BE100" si="176">BD69+U69</f>
        <v>0</v>
      </c>
      <c r="BF69" s="16">
        <f t="shared" ref="BF69:BF100" si="177">BE69+V69</f>
        <v>0</v>
      </c>
      <c r="BG69" s="16">
        <f t="shared" ref="BG69:BG100" si="178">BF69+W69</f>
        <v>0</v>
      </c>
      <c r="BH69" s="16">
        <f t="shared" ref="BH69:BH100" si="179">BG69+X69</f>
        <v>0</v>
      </c>
      <c r="BI69" s="16">
        <f t="shared" ref="BI69:BI100" si="180">BH69+Y69</f>
        <v>0</v>
      </c>
      <c r="BJ69" s="16">
        <f t="shared" ref="BJ69:BJ100" si="181">BI69+Z69</f>
        <v>0</v>
      </c>
      <c r="BK69" s="16">
        <f t="shared" ref="BK69:BK100" si="182">BJ69+AA69</f>
        <v>0</v>
      </c>
      <c r="BL69" s="16">
        <f t="shared" ref="BL69:BL100" si="183">BK69+AB69</f>
        <v>0</v>
      </c>
      <c r="BM69" s="16">
        <f t="shared" ref="BM69:BM100" si="184">BL69+AC69</f>
        <v>0</v>
      </c>
      <c r="BN69" s="16">
        <f t="shared" ref="BN69:BN100" si="185">BM69+AD69</f>
        <v>0</v>
      </c>
      <c r="BO69" s="16">
        <f t="shared" ref="BO69:BO100" si="186">BN69+AE69</f>
        <v>0</v>
      </c>
      <c r="BP69" s="16">
        <f t="shared" ref="BP69:BP100" si="187">BO69+AF69</f>
        <v>0</v>
      </c>
      <c r="BQ69" s="16">
        <f t="shared" ref="BQ69:BQ100" si="188">BP69+AG69</f>
        <v>0</v>
      </c>
      <c r="BR69" s="16">
        <f t="shared" ref="BR69:BR100" si="189">BQ69+AH69</f>
        <v>0</v>
      </c>
      <c r="BS69" s="16">
        <f t="shared" ref="BS69:BS100" si="190">BR69+AI69</f>
        <v>0</v>
      </c>
      <c r="BT69" s="16">
        <f t="shared" ref="BT69:BT100" si="191">BS69+AJ69</f>
        <v>0</v>
      </c>
    </row>
    <row r="70" spans="2:72" x14ac:dyDescent="0.2">
      <c r="B70" s="16">
        <f>N('Registru mijloace fixe'!$I70)</f>
        <v>0</v>
      </c>
      <c r="C70" s="27">
        <f>N('Registru mijloace fixe'!$J70)</f>
        <v>0</v>
      </c>
      <c r="D70" s="16" t="str">
        <f>'Registru mijloace fixe'!$K70&amp;""</f>
        <v/>
      </c>
      <c r="E70" s="16">
        <f t="shared" si="128"/>
        <v>1.5</v>
      </c>
      <c r="F70" s="16">
        <f t="shared" si="129"/>
        <v>0.5</v>
      </c>
      <c r="G70" s="16">
        <f t="shared" si="130"/>
        <v>0</v>
      </c>
      <c r="H70" s="16">
        <f t="shared" si="131"/>
        <v>0</v>
      </c>
      <c r="I70" s="16">
        <f t="shared" si="132"/>
        <v>0</v>
      </c>
      <c r="J70" s="16">
        <f t="shared" si="133"/>
        <v>0</v>
      </c>
      <c r="K70" s="16">
        <f t="shared" si="134"/>
        <v>0</v>
      </c>
      <c r="L70" s="16">
        <f t="shared" si="135"/>
        <v>0</v>
      </c>
      <c r="M70" s="16">
        <f t="shared" si="136"/>
        <v>0</v>
      </c>
      <c r="N70" s="16">
        <f t="shared" si="137"/>
        <v>0</v>
      </c>
      <c r="O70" s="16">
        <f t="shared" si="138"/>
        <v>0</v>
      </c>
      <c r="P70" s="16">
        <f t="shared" si="139"/>
        <v>0</v>
      </c>
      <c r="Q70" s="16">
        <f t="shared" si="140"/>
        <v>0</v>
      </c>
      <c r="R70" s="16">
        <f t="shared" si="141"/>
        <v>0</v>
      </c>
      <c r="S70" s="16">
        <f t="shared" si="142"/>
        <v>0</v>
      </c>
      <c r="T70" s="16">
        <f t="shared" si="143"/>
        <v>0</v>
      </c>
      <c r="U70" s="16">
        <f t="shared" si="144"/>
        <v>0</v>
      </c>
      <c r="V70" s="16">
        <f t="shared" si="145"/>
        <v>0</v>
      </c>
      <c r="W70" s="16">
        <f t="shared" si="146"/>
        <v>0</v>
      </c>
      <c r="X70" s="16">
        <f t="shared" si="147"/>
        <v>0</v>
      </c>
      <c r="Y70" s="16">
        <f t="shared" si="148"/>
        <v>0</v>
      </c>
      <c r="Z70" s="16">
        <f t="shared" si="149"/>
        <v>0</v>
      </c>
      <c r="AA70" s="16">
        <f t="shared" si="150"/>
        <v>0</v>
      </c>
      <c r="AB70" s="16">
        <f t="shared" si="151"/>
        <v>0</v>
      </c>
      <c r="AC70" s="16">
        <f t="shared" si="152"/>
        <v>0</v>
      </c>
      <c r="AD70" s="16">
        <f t="shared" si="153"/>
        <v>0</v>
      </c>
      <c r="AE70" s="16">
        <f t="shared" si="154"/>
        <v>0</v>
      </c>
      <c r="AF70" s="16">
        <f t="shared" si="155"/>
        <v>0</v>
      </c>
      <c r="AG70" s="16">
        <f t="shared" si="156"/>
        <v>0</v>
      </c>
      <c r="AH70" s="16">
        <f t="shared" si="157"/>
        <v>0</v>
      </c>
      <c r="AI70" s="16">
        <f t="shared" si="158"/>
        <v>0</v>
      </c>
      <c r="AJ70" s="16">
        <f t="shared" si="159"/>
        <v>0</v>
      </c>
      <c r="AK70" s="16"/>
      <c r="AL70" s="16"/>
      <c r="AM70" s="16">
        <f>IF(NOT(ISNUMBER('Registru mijloace fixe'!$R70)),0,MAX(0,MIN(((YEAR(LunaRef)-YEAR('Registru mijloace fixe'!$R70))*12+MONTH(LunaRef)-MONTH('Registru mijloace fixe'!$R70)+1)-1,IF(ISNUMBER('Registru mijloace fixe'!$N70),((YEAR('Registru mijloace fixe'!$N70)-YEAR('Registru mijloace fixe'!$R70))*12+MONTH('Registru mijloace fixe'!$N70)-MONTH('Registru mijloace fixe'!$R70)+1),9999),C70*12)))</f>
        <v>0</v>
      </c>
      <c r="AN70" s="27">
        <f>IF(NOT(ISNUMBER('Registru mijloace fixe'!$R70)),0,MAX(0,MIN(((YEAR(LunaRef)-YEAR('Registru mijloace fixe'!$R70))*12+MONTH(LunaRef)-MONTH('Registru mijloace fixe'!$R70)+1),IF(ISNUMBER('Registru mijloace fixe'!$N70),((YEAR('Registru mijloace fixe'!$N70)-YEAR('Registru mijloace fixe'!$R70))*12+MONTH('Registru mijloace fixe'!$N70)-MONTH('Registru mijloace fixe'!$R70)+1),9999),C70*12)))</f>
        <v>0</v>
      </c>
      <c r="AO70" s="16">
        <f t="shared" si="160"/>
        <v>0</v>
      </c>
      <c r="AP70" s="16">
        <f t="shared" si="161"/>
        <v>0</v>
      </c>
      <c r="AQ70" s="16">
        <f t="shared" si="162"/>
        <v>0</v>
      </c>
      <c r="AR70" s="16">
        <f t="shared" si="163"/>
        <v>0</v>
      </c>
      <c r="AS70" s="16">
        <f t="shared" si="164"/>
        <v>0</v>
      </c>
      <c r="AT70" s="16">
        <f t="shared" si="165"/>
        <v>0</v>
      </c>
      <c r="AU70" s="16">
        <f t="shared" si="166"/>
        <v>0</v>
      </c>
      <c r="AV70" s="16">
        <f t="shared" si="167"/>
        <v>0</v>
      </c>
      <c r="AW70" s="16">
        <f t="shared" si="168"/>
        <v>0</v>
      </c>
      <c r="AX70" s="16">
        <f t="shared" si="169"/>
        <v>0</v>
      </c>
      <c r="AY70" s="16">
        <f t="shared" si="170"/>
        <v>0</v>
      </c>
      <c r="AZ70" s="16">
        <f t="shared" si="171"/>
        <v>0</v>
      </c>
      <c r="BA70" s="16">
        <f t="shared" si="172"/>
        <v>0</v>
      </c>
      <c r="BB70" s="16">
        <f t="shared" si="173"/>
        <v>0</v>
      </c>
      <c r="BC70" s="16">
        <f t="shared" si="174"/>
        <v>0</v>
      </c>
      <c r="BD70" s="16">
        <f t="shared" si="175"/>
        <v>0</v>
      </c>
      <c r="BE70" s="16">
        <f t="shared" si="176"/>
        <v>0</v>
      </c>
      <c r="BF70" s="16">
        <f t="shared" si="177"/>
        <v>0</v>
      </c>
      <c r="BG70" s="16">
        <f t="shared" si="178"/>
        <v>0</v>
      </c>
      <c r="BH70" s="16">
        <f t="shared" si="179"/>
        <v>0</v>
      </c>
      <c r="BI70" s="16">
        <f t="shared" si="180"/>
        <v>0</v>
      </c>
      <c r="BJ70" s="16">
        <f t="shared" si="181"/>
        <v>0</v>
      </c>
      <c r="BK70" s="16">
        <f t="shared" si="182"/>
        <v>0</v>
      </c>
      <c r="BL70" s="16">
        <f t="shared" si="183"/>
        <v>0</v>
      </c>
      <c r="BM70" s="16">
        <f t="shared" si="184"/>
        <v>0</v>
      </c>
      <c r="BN70" s="16">
        <f t="shared" si="185"/>
        <v>0</v>
      </c>
      <c r="BO70" s="16">
        <f t="shared" si="186"/>
        <v>0</v>
      </c>
      <c r="BP70" s="16">
        <f t="shared" si="187"/>
        <v>0</v>
      </c>
      <c r="BQ70" s="16">
        <f t="shared" si="188"/>
        <v>0</v>
      </c>
      <c r="BR70" s="16">
        <f t="shared" si="189"/>
        <v>0</v>
      </c>
      <c r="BS70" s="16">
        <f t="shared" si="190"/>
        <v>0</v>
      </c>
      <c r="BT70" s="16">
        <f t="shared" si="191"/>
        <v>0</v>
      </c>
    </row>
    <row r="71" spans="2:72" x14ac:dyDescent="0.2">
      <c r="B71" s="16">
        <f>N('Registru mijloace fixe'!$I71)</f>
        <v>0</v>
      </c>
      <c r="C71" s="27">
        <f>N('Registru mijloace fixe'!$J71)</f>
        <v>0</v>
      </c>
      <c r="D71" s="16" t="str">
        <f>'Registru mijloace fixe'!$K71&amp;""</f>
        <v/>
      </c>
      <c r="E71" s="16">
        <f t="shared" si="128"/>
        <v>1.5</v>
      </c>
      <c r="F71" s="16">
        <f t="shared" si="129"/>
        <v>0.5</v>
      </c>
      <c r="G71" s="16">
        <f t="shared" si="130"/>
        <v>0</v>
      </c>
      <c r="H71" s="16">
        <f t="shared" si="131"/>
        <v>0</v>
      </c>
      <c r="I71" s="16">
        <f t="shared" si="132"/>
        <v>0</v>
      </c>
      <c r="J71" s="16">
        <f t="shared" si="133"/>
        <v>0</v>
      </c>
      <c r="K71" s="16">
        <f t="shared" si="134"/>
        <v>0</v>
      </c>
      <c r="L71" s="16">
        <f t="shared" si="135"/>
        <v>0</v>
      </c>
      <c r="M71" s="16">
        <f t="shared" si="136"/>
        <v>0</v>
      </c>
      <c r="N71" s="16">
        <f t="shared" si="137"/>
        <v>0</v>
      </c>
      <c r="O71" s="16">
        <f t="shared" si="138"/>
        <v>0</v>
      </c>
      <c r="P71" s="16">
        <f t="shared" si="139"/>
        <v>0</v>
      </c>
      <c r="Q71" s="16">
        <f t="shared" si="140"/>
        <v>0</v>
      </c>
      <c r="R71" s="16">
        <f t="shared" si="141"/>
        <v>0</v>
      </c>
      <c r="S71" s="16">
        <f t="shared" si="142"/>
        <v>0</v>
      </c>
      <c r="T71" s="16">
        <f t="shared" si="143"/>
        <v>0</v>
      </c>
      <c r="U71" s="16">
        <f t="shared" si="144"/>
        <v>0</v>
      </c>
      <c r="V71" s="16">
        <f t="shared" si="145"/>
        <v>0</v>
      </c>
      <c r="W71" s="16">
        <f t="shared" si="146"/>
        <v>0</v>
      </c>
      <c r="X71" s="16">
        <f t="shared" si="147"/>
        <v>0</v>
      </c>
      <c r="Y71" s="16">
        <f t="shared" si="148"/>
        <v>0</v>
      </c>
      <c r="Z71" s="16">
        <f t="shared" si="149"/>
        <v>0</v>
      </c>
      <c r="AA71" s="16">
        <f t="shared" si="150"/>
        <v>0</v>
      </c>
      <c r="AB71" s="16">
        <f t="shared" si="151"/>
        <v>0</v>
      </c>
      <c r="AC71" s="16">
        <f t="shared" si="152"/>
        <v>0</v>
      </c>
      <c r="AD71" s="16">
        <f t="shared" si="153"/>
        <v>0</v>
      </c>
      <c r="AE71" s="16">
        <f t="shared" si="154"/>
        <v>0</v>
      </c>
      <c r="AF71" s="16">
        <f t="shared" si="155"/>
        <v>0</v>
      </c>
      <c r="AG71" s="16">
        <f t="shared" si="156"/>
        <v>0</v>
      </c>
      <c r="AH71" s="16">
        <f t="shared" si="157"/>
        <v>0</v>
      </c>
      <c r="AI71" s="16">
        <f t="shared" si="158"/>
        <v>0</v>
      </c>
      <c r="AJ71" s="16">
        <f t="shared" si="159"/>
        <v>0</v>
      </c>
      <c r="AK71" s="16"/>
      <c r="AL71" s="16"/>
      <c r="AM71" s="16">
        <f>IF(NOT(ISNUMBER('Registru mijloace fixe'!$R71)),0,MAX(0,MIN(((YEAR(LunaRef)-YEAR('Registru mijloace fixe'!$R71))*12+MONTH(LunaRef)-MONTH('Registru mijloace fixe'!$R71)+1)-1,IF(ISNUMBER('Registru mijloace fixe'!$N71),((YEAR('Registru mijloace fixe'!$N71)-YEAR('Registru mijloace fixe'!$R71))*12+MONTH('Registru mijloace fixe'!$N71)-MONTH('Registru mijloace fixe'!$R71)+1),9999),C71*12)))</f>
        <v>0</v>
      </c>
      <c r="AN71" s="27">
        <f>IF(NOT(ISNUMBER('Registru mijloace fixe'!$R71)),0,MAX(0,MIN(((YEAR(LunaRef)-YEAR('Registru mijloace fixe'!$R71))*12+MONTH(LunaRef)-MONTH('Registru mijloace fixe'!$R71)+1),IF(ISNUMBER('Registru mijloace fixe'!$N71),((YEAR('Registru mijloace fixe'!$N71)-YEAR('Registru mijloace fixe'!$R71))*12+MONTH('Registru mijloace fixe'!$N71)-MONTH('Registru mijloace fixe'!$R71)+1),9999),C71*12)))</f>
        <v>0</v>
      </c>
      <c r="AO71" s="16">
        <f t="shared" si="160"/>
        <v>0</v>
      </c>
      <c r="AP71" s="16">
        <f t="shared" si="161"/>
        <v>0</v>
      </c>
      <c r="AQ71" s="16">
        <f t="shared" si="162"/>
        <v>0</v>
      </c>
      <c r="AR71" s="16">
        <f t="shared" si="163"/>
        <v>0</v>
      </c>
      <c r="AS71" s="16">
        <f t="shared" si="164"/>
        <v>0</v>
      </c>
      <c r="AT71" s="16">
        <f t="shared" si="165"/>
        <v>0</v>
      </c>
      <c r="AU71" s="16">
        <f t="shared" si="166"/>
        <v>0</v>
      </c>
      <c r="AV71" s="16">
        <f t="shared" si="167"/>
        <v>0</v>
      </c>
      <c r="AW71" s="16">
        <f t="shared" si="168"/>
        <v>0</v>
      </c>
      <c r="AX71" s="16">
        <f t="shared" si="169"/>
        <v>0</v>
      </c>
      <c r="AY71" s="16">
        <f t="shared" si="170"/>
        <v>0</v>
      </c>
      <c r="AZ71" s="16">
        <f t="shared" si="171"/>
        <v>0</v>
      </c>
      <c r="BA71" s="16">
        <f t="shared" si="172"/>
        <v>0</v>
      </c>
      <c r="BB71" s="16">
        <f t="shared" si="173"/>
        <v>0</v>
      </c>
      <c r="BC71" s="16">
        <f t="shared" si="174"/>
        <v>0</v>
      </c>
      <c r="BD71" s="16">
        <f t="shared" si="175"/>
        <v>0</v>
      </c>
      <c r="BE71" s="16">
        <f t="shared" si="176"/>
        <v>0</v>
      </c>
      <c r="BF71" s="16">
        <f t="shared" si="177"/>
        <v>0</v>
      </c>
      <c r="BG71" s="16">
        <f t="shared" si="178"/>
        <v>0</v>
      </c>
      <c r="BH71" s="16">
        <f t="shared" si="179"/>
        <v>0</v>
      </c>
      <c r="BI71" s="16">
        <f t="shared" si="180"/>
        <v>0</v>
      </c>
      <c r="BJ71" s="16">
        <f t="shared" si="181"/>
        <v>0</v>
      </c>
      <c r="BK71" s="16">
        <f t="shared" si="182"/>
        <v>0</v>
      </c>
      <c r="BL71" s="16">
        <f t="shared" si="183"/>
        <v>0</v>
      </c>
      <c r="BM71" s="16">
        <f t="shared" si="184"/>
        <v>0</v>
      </c>
      <c r="BN71" s="16">
        <f t="shared" si="185"/>
        <v>0</v>
      </c>
      <c r="BO71" s="16">
        <f t="shared" si="186"/>
        <v>0</v>
      </c>
      <c r="BP71" s="16">
        <f t="shared" si="187"/>
        <v>0</v>
      </c>
      <c r="BQ71" s="16">
        <f t="shared" si="188"/>
        <v>0</v>
      </c>
      <c r="BR71" s="16">
        <f t="shared" si="189"/>
        <v>0</v>
      </c>
      <c r="BS71" s="16">
        <f t="shared" si="190"/>
        <v>0</v>
      </c>
      <c r="BT71" s="16">
        <f t="shared" si="191"/>
        <v>0</v>
      </c>
    </row>
    <row r="72" spans="2:72" x14ac:dyDescent="0.2">
      <c r="B72" s="16">
        <f>N('Registru mijloace fixe'!$I72)</f>
        <v>0</v>
      </c>
      <c r="C72" s="27">
        <f>N('Registru mijloace fixe'!$J72)</f>
        <v>0</v>
      </c>
      <c r="D72" s="16" t="str">
        <f>'Registru mijloace fixe'!$K72&amp;""</f>
        <v/>
      </c>
      <c r="E72" s="16">
        <f t="shared" si="128"/>
        <v>1.5</v>
      </c>
      <c r="F72" s="16">
        <f t="shared" si="129"/>
        <v>0.5</v>
      </c>
      <c r="G72" s="16">
        <f t="shared" si="130"/>
        <v>0</v>
      </c>
      <c r="H72" s="16">
        <f t="shared" si="131"/>
        <v>0</v>
      </c>
      <c r="I72" s="16">
        <f t="shared" si="132"/>
        <v>0</v>
      </c>
      <c r="J72" s="16">
        <f t="shared" si="133"/>
        <v>0</v>
      </c>
      <c r="K72" s="16">
        <f t="shared" si="134"/>
        <v>0</v>
      </c>
      <c r="L72" s="16">
        <f t="shared" si="135"/>
        <v>0</v>
      </c>
      <c r="M72" s="16">
        <f t="shared" si="136"/>
        <v>0</v>
      </c>
      <c r="N72" s="16">
        <f t="shared" si="137"/>
        <v>0</v>
      </c>
      <c r="O72" s="16">
        <f t="shared" si="138"/>
        <v>0</v>
      </c>
      <c r="P72" s="16">
        <f t="shared" si="139"/>
        <v>0</v>
      </c>
      <c r="Q72" s="16">
        <f t="shared" si="140"/>
        <v>0</v>
      </c>
      <c r="R72" s="16">
        <f t="shared" si="141"/>
        <v>0</v>
      </c>
      <c r="S72" s="16">
        <f t="shared" si="142"/>
        <v>0</v>
      </c>
      <c r="T72" s="16">
        <f t="shared" si="143"/>
        <v>0</v>
      </c>
      <c r="U72" s="16">
        <f t="shared" si="144"/>
        <v>0</v>
      </c>
      <c r="V72" s="16">
        <f t="shared" si="145"/>
        <v>0</v>
      </c>
      <c r="W72" s="16">
        <f t="shared" si="146"/>
        <v>0</v>
      </c>
      <c r="X72" s="16">
        <f t="shared" si="147"/>
        <v>0</v>
      </c>
      <c r="Y72" s="16">
        <f t="shared" si="148"/>
        <v>0</v>
      </c>
      <c r="Z72" s="16">
        <f t="shared" si="149"/>
        <v>0</v>
      </c>
      <c r="AA72" s="16">
        <f t="shared" si="150"/>
        <v>0</v>
      </c>
      <c r="AB72" s="16">
        <f t="shared" si="151"/>
        <v>0</v>
      </c>
      <c r="AC72" s="16">
        <f t="shared" si="152"/>
        <v>0</v>
      </c>
      <c r="AD72" s="16">
        <f t="shared" si="153"/>
        <v>0</v>
      </c>
      <c r="AE72" s="16">
        <f t="shared" si="154"/>
        <v>0</v>
      </c>
      <c r="AF72" s="16">
        <f t="shared" si="155"/>
        <v>0</v>
      </c>
      <c r="AG72" s="16">
        <f t="shared" si="156"/>
        <v>0</v>
      </c>
      <c r="AH72" s="16">
        <f t="shared" si="157"/>
        <v>0</v>
      </c>
      <c r="AI72" s="16">
        <f t="shared" si="158"/>
        <v>0</v>
      </c>
      <c r="AJ72" s="16">
        <f t="shared" si="159"/>
        <v>0</v>
      </c>
      <c r="AK72" s="16"/>
      <c r="AL72" s="16"/>
      <c r="AM72" s="16">
        <f>IF(NOT(ISNUMBER('Registru mijloace fixe'!$R72)),0,MAX(0,MIN(((YEAR(LunaRef)-YEAR('Registru mijloace fixe'!$R72))*12+MONTH(LunaRef)-MONTH('Registru mijloace fixe'!$R72)+1)-1,IF(ISNUMBER('Registru mijloace fixe'!$N72),((YEAR('Registru mijloace fixe'!$N72)-YEAR('Registru mijloace fixe'!$R72))*12+MONTH('Registru mijloace fixe'!$N72)-MONTH('Registru mijloace fixe'!$R72)+1),9999),C72*12)))</f>
        <v>0</v>
      </c>
      <c r="AN72" s="27">
        <f>IF(NOT(ISNUMBER('Registru mijloace fixe'!$R72)),0,MAX(0,MIN(((YEAR(LunaRef)-YEAR('Registru mijloace fixe'!$R72))*12+MONTH(LunaRef)-MONTH('Registru mijloace fixe'!$R72)+1),IF(ISNUMBER('Registru mijloace fixe'!$N72),((YEAR('Registru mijloace fixe'!$N72)-YEAR('Registru mijloace fixe'!$R72))*12+MONTH('Registru mijloace fixe'!$N72)-MONTH('Registru mijloace fixe'!$R72)+1),9999),C72*12)))</f>
        <v>0</v>
      </c>
      <c r="AO72" s="16">
        <f t="shared" si="160"/>
        <v>0</v>
      </c>
      <c r="AP72" s="16">
        <f t="shared" si="161"/>
        <v>0</v>
      </c>
      <c r="AQ72" s="16">
        <f t="shared" si="162"/>
        <v>0</v>
      </c>
      <c r="AR72" s="16">
        <f t="shared" si="163"/>
        <v>0</v>
      </c>
      <c r="AS72" s="16">
        <f t="shared" si="164"/>
        <v>0</v>
      </c>
      <c r="AT72" s="16">
        <f t="shared" si="165"/>
        <v>0</v>
      </c>
      <c r="AU72" s="16">
        <f t="shared" si="166"/>
        <v>0</v>
      </c>
      <c r="AV72" s="16">
        <f t="shared" si="167"/>
        <v>0</v>
      </c>
      <c r="AW72" s="16">
        <f t="shared" si="168"/>
        <v>0</v>
      </c>
      <c r="AX72" s="16">
        <f t="shared" si="169"/>
        <v>0</v>
      </c>
      <c r="AY72" s="16">
        <f t="shared" si="170"/>
        <v>0</v>
      </c>
      <c r="AZ72" s="16">
        <f t="shared" si="171"/>
        <v>0</v>
      </c>
      <c r="BA72" s="16">
        <f t="shared" si="172"/>
        <v>0</v>
      </c>
      <c r="BB72" s="16">
        <f t="shared" si="173"/>
        <v>0</v>
      </c>
      <c r="BC72" s="16">
        <f t="shared" si="174"/>
        <v>0</v>
      </c>
      <c r="BD72" s="16">
        <f t="shared" si="175"/>
        <v>0</v>
      </c>
      <c r="BE72" s="16">
        <f t="shared" si="176"/>
        <v>0</v>
      </c>
      <c r="BF72" s="16">
        <f t="shared" si="177"/>
        <v>0</v>
      </c>
      <c r="BG72" s="16">
        <f t="shared" si="178"/>
        <v>0</v>
      </c>
      <c r="BH72" s="16">
        <f t="shared" si="179"/>
        <v>0</v>
      </c>
      <c r="BI72" s="16">
        <f t="shared" si="180"/>
        <v>0</v>
      </c>
      <c r="BJ72" s="16">
        <f t="shared" si="181"/>
        <v>0</v>
      </c>
      <c r="BK72" s="16">
        <f t="shared" si="182"/>
        <v>0</v>
      </c>
      <c r="BL72" s="16">
        <f t="shared" si="183"/>
        <v>0</v>
      </c>
      <c r="BM72" s="16">
        <f t="shared" si="184"/>
        <v>0</v>
      </c>
      <c r="BN72" s="16">
        <f t="shared" si="185"/>
        <v>0</v>
      </c>
      <c r="BO72" s="16">
        <f t="shared" si="186"/>
        <v>0</v>
      </c>
      <c r="BP72" s="16">
        <f t="shared" si="187"/>
        <v>0</v>
      </c>
      <c r="BQ72" s="16">
        <f t="shared" si="188"/>
        <v>0</v>
      </c>
      <c r="BR72" s="16">
        <f t="shared" si="189"/>
        <v>0</v>
      </c>
      <c r="BS72" s="16">
        <f t="shared" si="190"/>
        <v>0</v>
      </c>
      <c r="BT72" s="16">
        <f t="shared" si="191"/>
        <v>0</v>
      </c>
    </row>
    <row r="73" spans="2:72" x14ac:dyDescent="0.2">
      <c r="B73" s="16">
        <f>N('Registru mijloace fixe'!$I73)</f>
        <v>0</v>
      </c>
      <c r="C73" s="27">
        <f>N('Registru mijloace fixe'!$J73)</f>
        <v>0</v>
      </c>
      <c r="D73" s="16" t="str">
        <f>'Registru mijloace fixe'!$K73&amp;""</f>
        <v/>
      </c>
      <c r="E73" s="16">
        <f t="shared" si="128"/>
        <v>1.5</v>
      </c>
      <c r="F73" s="16">
        <f t="shared" si="129"/>
        <v>0.5</v>
      </c>
      <c r="G73" s="16">
        <f t="shared" si="130"/>
        <v>0</v>
      </c>
      <c r="H73" s="16">
        <f t="shared" si="131"/>
        <v>0</v>
      </c>
      <c r="I73" s="16">
        <f t="shared" si="132"/>
        <v>0</v>
      </c>
      <c r="J73" s="16">
        <f t="shared" si="133"/>
        <v>0</v>
      </c>
      <c r="K73" s="16">
        <f t="shared" si="134"/>
        <v>0</v>
      </c>
      <c r="L73" s="16">
        <f t="shared" si="135"/>
        <v>0</v>
      </c>
      <c r="M73" s="16">
        <f t="shared" si="136"/>
        <v>0</v>
      </c>
      <c r="N73" s="16">
        <f t="shared" si="137"/>
        <v>0</v>
      </c>
      <c r="O73" s="16">
        <f t="shared" si="138"/>
        <v>0</v>
      </c>
      <c r="P73" s="16">
        <f t="shared" si="139"/>
        <v>0</v>
      </c>
      <c r="Q73" s="16">
        <f t="shared" si="140"/>
        <v>0</v>
      </c>
      <c r="R73" s="16">
        <f t="shared" si="141"/>
        <v>0</v>
      </c>
      <c r="S73" s="16">
        <f t="shared" si="142"/>
        <v>0</v>
      </c>
      <c r="T73" s="16">
        <f t="shared" si="143"/>
        <v>0</v>
      </c>
      <c r="U73" s="16">
        <f t="shared" si="144"/>
        <v>0</v>
      </c>
      <c r="V73" s="16">
        <f t="shared" si="145"/>
        <v>0</v>
      </c>
      <c r="W73" s="16">
        <f t="shared" si="146"/>
        <v>0</v>
      </c>
      <c r="X73" s="16">
        <f t="shared" si="147"/>
        <v>0</v>
      </c>
      <c r="Y73" s="16">
        <f t="shared" si="148"/>
        <v>0</v>
      </c>
      <c r="Z73" s="16">
        <f t="shared" si="149"/>
        <v>0</v>
      </c>
      <c r="AA73" s="16">
        <f t="shared" si="150"/>
        <v>0</v>
      </c>
      <c r="AB73" s="16">
        <f t="shared" si="151"/>
        <v>0</v>
      </c>
      <c r="AC73" s="16">
        <f t="shared" si="152"/>
        <v>0</v>
      </c>
      <c r="AD73" s="16">
        <f t="shared" si="153"/>
        <v>0</v>
      </c>
      <c r="AE73" s="16">
        <f t="shared" si="154"/>
        <v>0</v>
      </c>
      <c r="AF73" s="16">
        <f t="shared" si="155"/>
        <v>0</v>
      </c>
      <c r="AG73" s="16">
        <f t="shared" si="156"/>
        <v>0</v>
      </c>
      <c r="AH73" s="16">
        <f t="shared" si="157"/>
        <v>0</v>
      </c>
      <c r="AI73" s="16">
        <f t="shared" si="158"/>
        <v>0</v>
      </c>
      <c r="AJ73" s="16">
        <f t="shared" si="159"/>
        <v>0</v>
      </c>
      <c r="AK73" s="16"/>
      <c r="AL73" s="16"/>
      <c r="AM73" s="16">
        <f>IF(NOT(ISNUMBER('Registru mijloace fixe'!$R73)),0,MAX(0,MIN(((YEAR(LunaRef)-YEAR('Registru mijloace fixe'!$R73))*12+MONTH(LunaRef)-MONTH('Registru mijloace fixe'!$R73)+1)-1,IF(ISNUMBER('Registru mijloace fixe'!$N73),((YEAR('Registru mijloace fixe'!$N73)-YEAR('Registru mijloace fixe'!$R73))*12+MONTH('Registru mijloace fixe'!$N73)-MONTH('Registru mijloace fixe'!$R73)+1),9999),C73*12)))</f>
        <v>0</v>
      </c>
      <c r="AN73" s="27">
        <f>IF(NOT(ISNUMBER('Registru mijloace fixe'!$R73)),0,MAX(0,MIN(((YEAR(LunaRef)-YEAR('Registru mijloace fixe'!$R73))*12+MONTH(LunaRef)-MONTH('Registru mijloace fixe'!$R73)+1),IF(ISNUMBER('Registru mijloace fixe'!$N73),((YEAR('Registru mijloace fixe'!$N73)-YEAR('Registru mijloace fixe'!$R73))*12+MONTH('Registru mijloace fixe'!$N73)-MONTH('Registru mijloace fixe'!$R73)+1),9999),C73*12)))</f>
        <v>0</v>
      </c>
      <c r="AO73" s="16">
        <f t="shared" si="160"/>
        <v>0</v>
      </c>
      <c r="AP73" s="16">
        <f t="shared" si="161"/>
        <v>0</v>
      </c>
      <c r="AQ73" s="16">
        <f t="shared" si="162"/>
        <v>0</v>
      </c>
      <c r="AR73" s="16">
        <f t="shared" si="163"/>
        <v>0</v>
      </c>
      <c r="AS73" s="16">
        <f t="shared" si="164"/>
        <v>0</v>
      </c>
      <c r="AT73" s="16">
        <f t="shared" si="165"/>
        <v>0</v>
      </c>
      <c r="AU73" s="16">
        <f t="shared" si="166"/>
        <v>0</v>
      </c>
      <c r="AV73" s="16">
        <f t="shared" si="167"/>
        <v>0</v>
      </c>
      <c r="AW73" s="16">
        <f t="shared" si="168"/>
        <v>0</v>
      </c>
      <c r="AX73" s="16">
        <f t="shared" si="169"/>
        <v>0</v>
      </c>
      <c r="AY73" s="16">
        <f t="shared" si="170"/>
        <v>0</v>
      </c>
      <c r="AZ73" s="16">
        <f t="shared" si="171"/>
        <v>0</v>
      </c>
      <c r="BA73" s="16">
        <f t="shared" si="172"/>
        <v>0</v>
      </c>
      <c r="BB73" s="16">
        <f t="shared" si="173"/>
        <v>0</v>
      </c>
      <c r="BC73" s="16">
        <f t="shared" si="174"/>
        <v>0</v>
      </c>
      <c r="BD73" s="16">
        <f t="shared" si="175"/>
        <v>0</v>
      </c>
      <c r="BE73" s="16">
        <f t="shared" si="176"/>
        <v>0</v>
      </c>
      <c r="BF73" s="16">
        <f t="shared" si="177"/>
        <v>0</v>
      </c>
      <c r="BG73" s="16">
        <f t="shared" si="178"/>
        <v>0</v>
      </c>
      <c r="BH73" s="16">
        <f t="shared" si="179"/>
        <v>0</v>
      </c>
      <c r="BI73" s="16">
        <f t="shared" si="180"/>
        <v>0</v>
      </c>
      <c r="BJ73" s="16">
        <f t="shared" si="181"/>
        <v>0</v>
      </c>
      <c r="BK73" s="16">
        <f t="shared" si="182"/>
        <v>0</v>
      </c>
      <c r="BL73" s="16">
        <f t="shared" si="183"/>
        <v>0</v>
      </c>
      <c r="BM73" s="16">
        <f t="shared" si="184"/>
        <v>0</v>
      </c>
      <c r="BN73" s="16">
        <f t="shared" si="185"/>
        <v>0</v>
      </c>
      <c r="BO73" s="16">
        <f t="shared" si="186"/>
        <v>0</v>
      </c>
      <c r="BP73" s="16">
        <f t="shared" si="187"/>
        <v>0</v>
      </c>
      <c r="BQ73" s="16">
        <f t="shared" si="188"/>
        <v>0</v>
      </c>
      <c r="BR73" s="16">
        <f t="shared" si="189"/>
        <v>0</v>
      </c>
      <c r="BS73" s="16">
        <f t="shared" si="190"/>
        <v>0</v>
      </c>
      <c r="BT73" s="16">
        <f t="shared" si="191"/>
        <v>0</v>
      </c>
    </row>
    <row r="74" spans="2:72" x14ac:dyDescent="0.2">
      <c r="B74" s="16">
        <f>N('Registru mijloace fixe'!$I74)</f>
        <v>0</v>
      </c>
      <c r="C74" s="27">
        <f>N('Registru mijloace fixe'!$J74)</f>
        <v>0</v>
      </c>
      <c r="D74" s="16" t="str">
        <f>'Registru mijloace fixe'!$K74&amp;""</f>
        <v/>
      </c>
      <c r="E74" s="16">
        <f t="shared" si="128"/>
        <v>1.5</v>
      </c>
      <c r="F74" s="16">
        <f t="shared" si="129"/>
        <v>0.5</v>
      </c>
      <c r="G74" s="16">
        <f t="shared" si="130"/>
        <v>0</v>
      </c>
      <c r="H74" s="16">
        <f t="shared" si="131"/>
        <v>0</v>
      </c>
      <c r="I74" s="16">
        <f t="shared" si="132"/>
        <v>0</v>
      </c>
      <c r="J74" s="16">
        <f t="shared" si="133"/>
        <v>0</v>
      </c>
      <c r="K74" s="16">
        <f t="shared" si="134"/>
        <v>0</v>
      </c>
      <c r="L74" s="16">
        <f t="shared" si="135"/>
        <v>0</v>
      </c>
      <c r="M74" s="16">
        <f t="shared" si="136"/>
        <v>0</v>
      </c>
      <c r="N74" s="16">
        <f t="shared" si="137"/>
        <v>0</v>
      </c>
      <c r="O74" s="16">
        <f t="shared" si="138"/>
        <v>0</v>
      </c>
      <c r="P74" s="16">
        <f t="shared" si="139"/>
        <v>0</v>
      </c>
      <c r="Q74" s="16">
        <f t="shared" si="140"/>
        <v>0</v>
      </c>
      <c r="R74" s="16">
        <f t="shared" si="141"/>
        <v>0</v>
      </c>
      <c r="S74" s="16">
        <f t="shared" si="142"/>
        <v>0</v>
      </c>
      <c r="T74" s="16">
        <f t="shared" si="143"/>
        <v>0</v>
      </c>
      <c r="U74" s="16">
        <f t="shared" si="144"/>
        <v>0</v>
      </c>
      <c r="V74" s="16">
        <f t="shared" si="145"/>
        <v>0</v>
      </c>
      <c r="W74" s="16">
        <f t="shared" si="146"/>
        <v>0</v>
      </c>
      <c r="X74" s="16">
        <f t="shared" si="147"/>
        <v>0</v>
      </c>
      <c r="Y74" s="16">
        <f t="shared" si="148"/>
        <v>0</v>
      </c>
      <c r="Z74" s="16">
        <f t="shared" si="149"/>
        <v>0</v>
      </c>
      <c r="AA74" s="16">
        <f t="shared" si="150"/>
        <v>0</v>
      </c>
      <c r="AB74" s="16">
        <f t="shared" si="151"/>
        <v>0</v>
      </c>
      <c r="AC74" s="16">
        <f t="shared" si="152"/>
        <v>0</v>
      </c>
      <c r="AD74" s="16">
        <f t="shared" si="153"/>
        <v>0</v>
      </c>
      <c r="AE74" s="16">
        <f t="shared" si="154"/>
        <v>0</v>
      </c>
      <c r="AF74" s="16">
        <f t="shared" si="155"/>
        <v>0</v>
      </c>
      <c r="AG74" s="16">
        <f t="shared" si="156"/>
        <v>0</v>
      </c>
      <c r="AH74" s="16">
        <f t="shared" si="157"/>
        <v>0</v>
      </c>
      <c r="AI74" s="16">
        <f t="shared" si="158"/>
        <v>0</v>
      </c>
      <c r="AJ74" s="16">
        <f t="shared" si="159"/>
        <v>0</v>
      </c>
      <c r="AK74" s="16"/>
      <c r="AL74" s="16"/>
      <c r="AM74" s="16">
        <f>IF(NOT(ISNUMBER('Registru mijloace fixe'!$R74)),0,MAX(0,MIN(((YEAR(LunaRef)-YEAR('Registru mijloace fixe'!$R74))*12+MONTH(LunaRef)-MONTH('Registru mijloace fixe'!$R74)+1)-1,IF(ISNUMBER('Registru mijloace fixe'!$N74),((YEAR('Registru mijloace fixe'!$N74)-YEAR('Registru mijloace fixe'!$R74))*12+MONTH('Registru mijloace fixe'!$N74)-MONTH('Registru mijloace fixe'!$R74)+1),9999),C74*12)))</f>
        <v>0</v>
      </c>
      <c r="AN74" s="27">
        <f>IF(NOT(ISNUMBER('Registru mijloace fixe'!$R74)),0,MAX(0,MIN(((YEAR(LunaRef)-YEAR('Registru mijloace fixe'!$R74))*12+MONTH(LunaRef)-MONTH('Registru mijloace fixe'!$R74)+1),IF(ISNUMBER('Registru mijloace fixe'!$N74),((YEAR('Registru mijloace fixe'!$N74)-YEAR('Registru mijloace fixe'!$R74))*12+MONTH('Registru mijloace fixe'!$N74)-MONTH('Registru mijloace fixe'!$R74)+1),9999),C74*12)))</f>
        <v>0</v>
      </c>
      <c r="AO74" s="16">
        <f t="shared" si="160"/>
        <v>0</v>
      </c>
      <c r="AP74" s="16">
        <f t="shared" si="161"/>
        <v>0</v>
      </c>
      <c r="AQ74" s="16">
        <f t="shared" si="162"/>
        <v>0</v>
      </c>
      <c r="AR74" s="16">
        <f t="shared" si="163"/>
        <v>0</v>
      </c>
      <c r="AS74" s="16">
        <f t="shared" si="164"/>
        <v>0</v>
      </c>
      <c r="AT74" s="16">
        <f t="shared" si="165"/>
        <v>0</v>
      </c>
      <c r="AU74" s="16">
        <f t="shared" si="166"/>
        <v>0</v>
      </c>
      <c r="AV74" s="16">
        <f t="shared" si="167"/>
        <v>0</v>
      </c>
      <c r="AW74" s="16">
        <f t="shared" si="168"/>
        <v>0</v>
      </c>
      <c r="AX74" s="16">
        <f t="shared" si="169"/>
        <v>0</v>
      </c>
      <c r="AY74" s="16">
        <f t="shared" si="170"/>
        <v>0</v>
      </c>
      <c r="AZ74" s="16">
        <f t="shared" si="171"/>
        <v>0</v>
      </c>
      <c r="BA74" s="16">
        <f t="shared" si="172"/>
        <v>0</v>
      </c>
      <c r="BB74" s="16">
        <f t="shared" si="173"/>
        <v>0</v>
      </c>
      <c r="BC74" s="16">
        <f t="shared" si="174"/>
        <v>0</v>
      </c>
      <c r="BD74" s="16">
        <f t="shared" si="175"/>
        <v>0</v>
      </c>
      <c r="BE74" s="16">
        <f t="shared" si="176"/>
        <v>0</v>
      </c>
      <c r="BF74" s="16">
        <f t="shared" si="177"/>
        <v>0</v>
      </c>
      <c r="BG74" s="16">
        <f t="shared" si="178"/>
        <v>0</v>
      </c>
      <c r="BH74" s="16">
        <f t="shared" si="179"/>
        <v>0</v>
      </c>
      <c r="BI74" s="16">
        <f t="shared" si="180"/>
        <v>0</v>
      </c>
      <c r="BJ74" s="16">
        <f t="shared" si="181"/>
        <v>0</v>
      </c>
      <c r="BK74" s="16">
        <f t="shared" si="182"/>
        <v>0</v>
      </c>
      <c r="BL74" s="16">
        <f t="shared" si="183"/>
        <v>0</v>
      </c>
      <c r="BM74" s="16">
        <f t="shared" si="184"/>
        <v>0</v>
      </c>
      <c r="BN74" s="16">
        <f t="shared" si="185"/>
        <v>0</v>
      </c>
      <c r="BO74" s="16">
        <f t="shared" si="186"/>
        <v>0</v>
      </c>
      <c r="BP74" s="16">
        <f t="shared" si="187"/>
        <v>0</v>
      </c>
      <c r="BQ74" s="16">
        <f t="shared" si="188"/>
        <v>0</v>
      </c>
      <c r="BR74" s="16">
        <f t="shared" si="189"/>
        <v>0</v>
      </c>
      <c r="BS74" s="16">
        <f t="shared" si="190"/>
        <v>0</v>
      </c>
      <c r="BT74" s="16">
        <f t="shared" si="191"/>
        <v>0</v>
      </c>
    </row>
    <row r="75" spans="2:72" x14ac:dyDescent="0.2">
      <c r="B75" s="16">
        <f>N('Registru mijloace fixe'!$I75)</f>
        <v>0</v>
      </c>
      <c r="C75" s="27">
        <f>N('Registru mijloace fixe'!$J75)</f>
        <v>0</v>
      </c>
      <c r="D75" s="16" t="str">
        <f>'Registru mijloace fixe'!$K75&amp;""</f>
        <v/>
      </c>
      <c r="E75" s="16">
        <f t="shared" si="128"/>
        <v>1.5</v>
      </c>
      <c r="F75" s="16">
        <f t="shared" si="129"/>
        <v>0.5</v>
      </c>
      <c r="G75" s="16">
        <f t="shared" si="130"/>
        <v>0</v>
      </c>
      <c r="H75" s="16">
        <f t="shared" si="131"/>
        <v>0</v>
      </c>
      <c r="I75" s="16">
        <f t="shared" si="132"/>
        <v>0</v>
      </c>
      <c r="J75" s="16">
        <f t="shared" si="133"/>
        <v>0</v>
      </c>
      <c r="K75" s="16">
        <f t="shared" si="134"/>
        <v>0</v>
      </c>
      <c r="L75" s="16">
        <f t="shared" si="135"/>
        <v>0</v>
      </c>
      <c r="M75" s="16">
        <f t="shared" si="136"/>
        <v>0</v>
      </c>
      <c r="N75" s="16">
        <f t="shared" si="137"/>
        <v>0</v>
      </c>
      <c r="O75" s="16">
        <f t="shared" si="138"/>
        <v>0</v>
      </c>
      <c r="P75" s="16">
        <f t="shared" si="139"/>
        <v>0</v>
      </c>
      <c r="Q75" s="16">
        <f t="shared" si="140"/>
        <v>0</v>
      </c>
      <c r="R75" s="16">
        <f t="shared" si="141"/>
        <v>0</v>
      </c>
      <c r="S75" s="16">
        <f t="shared" si="142"/>
        <v>0</v>
      </c>
      <c r="T75" s="16">
        <f t="shared" si="143"/>
        <v>0</v>
      </c>
      <c r="U75" s="16">
        <f t="shared" si="144"/>
        <v>0</v>
      </c>
      <c r="V75" s="16">
        <f t="shared" si="145"/>
        <v>0</v>
      </c>
      <c r="W75" s="16">
        <f t="shared" si="146"/>
        <v>0</v>
      </c>
      <c r="X75" s="16">
        <f t="shared" si="147"/>
        <v>0</v>
      </c>
      <c r="Y75" s="16">
        <f t="shared" si="148"/>
        <v>0</v>
      </c>
      <c r="Z75" s="16">
        <f t="shared" si="149"/>
        <v>0</v>
      </c>
      <c r="AA75" s="16">
        <f t="shared" si="150"/>
        <v>0</v>
      </c>
      <c r="AB75" s="16">
        <f t="shared" si="151"/>
        <v>0</v>
      </c>
      <c r="AC75" s="16">
        <f t="shared" si="152"/>
        <v>0</v>
      </c>
      <c r="AD75" s="16">
        <f t="shared" si="153"/>
        <v>0</v>
      </c>
      <c r="AE75" s="16">
        <f t="shared" si="154"/>
        <v>0</v>
      </c>
      <c r="AF75" s="16">
        <f t="shared" si="155"/>
        <v>0</v>
      </c>
      <c r="AG75" s="16">
        <f t="shared" si="156"/>
        <v>0</v>
      </c>
      <c r="AH75" s="16">
        <f t="shared" si="157"/>
        <v>0</v>
      </c>
      <c r="AI75" s="16">
        <f t="shared" si="158"/>
        <v>0</v>
      </c>
      <c r="AJ75" s="16">
        <f t="shared" si="159"/>
        <v>0</v>
      </c>
      <c r="AK75" s="16"/>
      <c r="AL75" s="16"/>
      <c r="AM75" s="16">
        <f>IF(NOT(ISNUMBER('Registru mijloace fixe'!$R75)),0,MAX(0,MIN(((YEAR(LunaRef)-YEAR('Registru mijloace fixe'!$R75))*12+MONTH(LunaRef)-MONTH('Registru mijloace fixe'!$R75)+1)-1,IF(ISNUMBER('Registru mijloace fixe'!$N75),((YEAR('Registru mijloace fixe'!$N75)-YEAR('Registru mijloace fixe'!$R75))*12+MONTH('Registru mijloace fixe'!$N75)-MONTH('Registru mijloace fixe'!$R75)+1),9999),C75*12)))</f>
        <v>0</v>
      </c>
      <c r="AN75" s="27">
        <f>IF(NOT(ISNUMBER('Registru mijloace fixe'!$R75)),0,MAX(0,MIN(((YEAR(LunaRef)-YEAR('Registru mijloace fixe'!$R75))*12+MONTH(LunaRef)-MONTH('Registru mijloace fixe'!$R75)+1),IF(ISNUMBER('Registru mijloace fixe'!$N75),((YEAR('Registru mijloace fixe'!$N75)-YEAR('Registru mijloace fixe'!$R75))*12+MONTH('Registru mijloace fixe'!$N75)-MONTH('Registru mijloace fixe'!$R75)+1),9999),C75*12)))</f>
        <v>0</v>
      </c>
      <c r="AO75" s="16">
        <f t="shared" si="160"/>
        <v>0</v>
      </c>
      <c r="AP75" s="16">
        <f t="shared" si="161"/>
        <v>0</v>
      </c>
      <c r="AQ75" s="16">
        <f t="shared" si="162"/>
        <v>0</v>
      </c>
      <c r="AR75" s="16">
        <f t="shared" si="163"/>
        <v>0</v>
      </c>
      <c r="AS75" s="16">
        <f t="shared" si="164"/>
        <v>0</v>
      </c>
      <c r="AT75" s="16">
        <f t="shared" si="165"/>
        <v>0</v>
      </c>
      <c r="AU75" s="16">
        <f t="shared" si="166"/>
        <v>0</v>
      </c>
      <c r="AV75" s="16">
        <f t="shared" si="167"/>
        <v>0</v>
      </c>
      <c r="AW75" s="16">
        <f t="shared" si="168"/>
        <v>0</v>
      </c>
      <c r="AX75" s="16">
        <f t="shared" si="169"/>
        <v>0</v>
      </c>
      <c r="AY75" s="16">
        <f t="shared" si="170"/>
        <v>0</v>
      </c>
      <c r="AZ75" s="16">
        <f t="shared" si="171"/>
        <v>0</v>
      </c>
      <c r="BA75" s="16">
        <f t="shared" si="172"/>
        <v>0</v>
      </c>
      <c r="BB75" s="16">
        <f t="shared" si="173"/>
        <v>0</v>
      </c>
      <c r="BC75" s="16">
        <f t="shared" si="174"/>
        <v>0</v>
      </c>
      <c r="BD75" s="16">
        <f t="shared" si="175"/>
        <v>0</v>
      </c>
      <c r="BE75" s="16">
        <f t="shared" si="176"/>
        <v>0</v>
      </c>
      <c r="BF75" s="16">
        <f t="shared" si="177"/>
        <v>0</v>
      </c>
      <c r="BG75" s="16">
        <f t="shared" si="178"/>
        <v>0</v>
      </c>
      <c r="BH75" s="16">
        <f t="shared" si="179"/>
        <v>0</v>
      </c>
      <c r="BI75" s="16">
        <f t="shared" si="180"/>
        <v>0</v>
      </c>
      <c r="BJ75" s="16">
        <f t="shared" si="181"/>
        <v>0</v>
      </c>
      <c r="BK75" s="16">
        <f t="shared" si="182"/>
        <v>0</v>
      </c>
      <c r="BL75" s="16">
        <f t="shared" si="183"/>
        <v>0</v>
      </c>
      <c r="BM75" s="16">
        <f t="shared" si="184"/>
        <v>0</v>
      </c>
      <c r="BN75" s="16">
        <f t="shared" si="185"/>
        <v>0</v>
      </c>
      <c r="BO75" s="16">
        <f t="shared" si="186"/>
        <v>0</v>
      </c>
      <c r="BP75" s="16">
        <f t="shared" si="187"/>
        <v>0</v>
      </c>
      <c r="BQ75" s="16">
        <f t="shared" si="188"/>
        <v>0</v>
      </c>
      <c r="BR75" s="16">
        <f t="shared" si="189"/>
        <v>0</v>
      </c>
      <c r="BS75" s="16">
        <f t="shared" si="190"/>
        <v>0</v>
      </c>
      <c r="BT75" s="16">
        <f t="shared" si="191"/>
        <v>0</v>
      </c>
    </row>
    <row r="76" spans="2:72" x14ac:dyDescent="0.2">
      <c r="B76" s="16">
        <f>N('Registru mijloace fixe'!$I76)</f>
        <v>0</v>
      </c>
      <c r="C76" s="27">
        <f>N('Registru mijloace fixe'!$J76)</f>
        <v>0</v>
      </c>
      <c r="D76" s="16" t="str">
        <f>'Registru mijloace fixe'!$K76&amp;""</f>
        <v/>
      </c>
      <c r="E76" s="16">
        <f t="shared" si="128"/>
        <v>1.5</v>
      </c>
      <c r="F76" s="16">
        <f t="shared" si="129"/>
        <v>0.5</v>
      </c>
      <c r="G76" s="16">
        <f t="shared" si="130"/>
        <v>0</v>
      </c>
      <c r="H76" s="16">
        <f t="shared" si="131"/>
        <v>0</v>
      </c>
      <c r="I76" s="16">
        <f t="shared" si="132"/>
        <v>0</v>
      </c>
      <c r="J76" s="16">
        <f t="shared" si="133"/>
        <v>0</v>
      </c>
      <c r="K76" s="16">
        <f t="shared" si="134"/>
        <v>0</v>
      </c>
      <c r="L76" s="16">
        <f t="shared" si="135"/>
        <v>0</v>
      </c>
      <c r="M76" s="16">
        <f t="shared" si="136"/>
        <v>0</v>
      </c>
      <c r="N76" s="16">
        <f t="shared" si="137"/>
        <v>0</v>
      </c>
      <c r="O76" s="16">
        <f t="shared" si="138"/>
        <v>0</v>
      </c>
      <c r="P76" s="16">
        <f t="shared" si="139"/>
        <v>0</v>
      </c>
      <c r="Q76" s="16">
        <f t="shared" si="140"/>
        <v>0</v>
      </c>
      <c r="R76" s="16">
        <f t="shared" si="141"/>
        <v>0</v>
      </c>
      <c r="S76" s="16">
        <f t="shared" si="142"/>
        <v>0</v>
      </c>
      <c r="T76" s="16">
        <f t="shared" si="143"/>
        <v>0</v>
      </c>
      <c r="U76" s="16">
        <f t="shared" si="144"/>
        <v>0</v>
      </c>
      <c r="V76" s="16">
        <f t="shared" si="145"/>
        <v>0</v>
      </c>
      <c r="W76" s="16">
        <f t="shared" si="146"/>
        <v>0</v>
      </c>
      <c r="X76" s="16">
        <f t="shared" si="147"/>
        <v>0</v>
      </c>
      <c r="Y76" s="16">
        <f t="shared" si="148"/>
        <v>0</v>
      </c>
      <c r="Z76" s="16">
        <f t="shared" si="149"/>
        <v>0</v>
      </c>
      <c r="AA76" s="16">
        <f t="shared" si="150"/>
        <v>0</v>
      </c>
      <c r="AB76" s="16">
        <f t="shared" si="151"/>
        <v>0</v>
      </c>
      <c r="AC76" s="16">
        <f t="shared" si="152"/>
        <v>0</v>
      </c>
      <c r="AD76" s="16">
        <f t="shared" si="153"/>
        <v>0</v>
      </c>
      <c r="AE76" s="16">
        <f t="shared" si="154"/>
        <v>0</v>
      </c>
      <c r="AF76" s="16">
        <f t="shared" si="155"/>
        <v>0</v>
      </c>
      <c r="AG76" s="16">
        <f t="shared" si="156"/>
        <v>0</v>
      </c>
      <c r="AH76" s="16">
        <f t="shared" si="157"/>
        <v>0</v>
      </c>
      <c r="AI76" s="16">
        <f t="shared" si="158"/>
        <v>0</v>
      </c>
      <c r="AJ76" s="16">
        <f t="shared" si="159"/>
        <v>0</v>
      </c>
      <c r="AK76" s="16"/>
      <c r="AL76" s="16"/>
      <c r="AM76" s="16">
        <f>IF(NOT(ISNUMBER('Registru mijloace fixe'!$R76)),0,MAX(0,MIN(((YEAR(LunaRef)-YEAR('Registru mijloace fixe'!$R76))*12+MONTH(LunaRef)-MONTH('Registru mijloace fixe'!$R76)+1)-1,IF(ISNUMBER('Registru mijloace fixe'!$N76),((YEAR('Registru mijloace fixe'!$N76)-YEAR('Registru mijloace fixe'!$R76))*12+MONTH('Registru mijloace fixe'!$N76)-MONTH('Registru mijloace fixe'!$R76)+1),9999),C76*12)))</f>
        <v>0</v>
      </c>
      <c r="AN76" s="27">
        <f>IF(NOT(ISNUMBER('Registru mijloace fixe'!$R76)),0,MAX(0,MIN(((YEAR(LunaRef)-YEAR('Registru mijloace fixe'!$R76))*12+MONTH(LunaRef)-MONTH('Registru mijloace fixe'!$R76)+1),IF(ISNUMBER('Registru mijloace fixe'!$N76),((YEAR('Registru mijloace fixe'!$N76)-YEAR('Registru mijloace fixe'!$R76))*12+MONTH('Registru mijloace fixe'!$N76)-MONTH('Registru mijloace fixe'!$R76)+1),9999),C76*12)))</f>
        <v>0</v>
      </c>
      <c r="AO76" s="16">
        <f t="shared" si="160"/>
        <v>0</v>
      </c>
      <c r="AP76" s="16">
        <f t="shared" si="161"/>
        <v>0</v>
      </c>
      <c r="AQ76" s="16">
        <f t="shared" si="162"/>
        <v>0</v>
      </c>
      <c r="AR76" s="16">
        <f t="shared" si="163"/>
        <v>0</v>
      </c>
      <c r="AS76" s="16">
        <f t="shared" si="164"/>
        <v>0</v>
      </c>
      <c r="AT76" s="16">
        <f t="shared" si="165"/>
        <v>0</v>
      </c>
      <c r="AU76" s="16">
        <f t="shared" si="166"/>
        <v>0</v>
      </c>
      <c r="AV76" s="16">
        <f t="shared" si="167"/>
        <v>0</v>
      </c>
      <c r="AW76" s="16">
        <f t="shared" si="168"/>
        <v>0</v>
      </c>
      <c r="AX76" s="16">
        <f t="shared" si="169"/>
        <v>0</v>
      </c>
      <c r="AY76" s="16">
        <f t="shared" si="170"/>
        <v>0</v>
      </c>
      <c r="AZ76" s="16">
        <f t="shared" si="171"/>
        <v>0</v>
      </c>
      <c r="BA76" s="16">
        <f t="shared" si="172"/>
        <v>0</v>
      </c>
      <c r="BB76" s="16">
        <f t="shared" si="173"/>
        <v>0</v>
      </c>
      <c r="BC76" s="16">
        <f t="shared" si="174"/>
        <v>0</v>
      </c>
      <c r="BD76" s="16">
        <f t="shared" si="175"/>
        <v>0</v>
      </c>
      <c r="BE76" s="16">
        <f t="shared" si="176"/>
        <v>0</v>
      </c>
      <c r="BF76" s="16">
        <f t="shared" si="177"/>
        <v>0</v>
      </c>
      <c r="BG76" s="16">
        <f t="shared" si="178"/>
        <v>0</v>
      </c>
      <c r="BH76" s="16">
        <f t="shared" si="179"/>
        <v>0</v>
      </c>
      <c r="BI76" s="16">
        <f t="shared" si="180"/>
        <v>0</v>
      </c>
      <c r="BJ76" s="16">
        <f t="shared" si="181"/>
        <v>0</v>
      </c>
      <c r="BK76" s="16">
        <f t="shared" si="182"/>
        <v>0</v>
      </c>
      <c r="BL76" s="16">
        <f t="shared" si="183"/>
        <v>0</v>
      </c>
      <c r="BM76" s="16">
        <f t="shared" si="184"/>
        <v>0</v>
      </c>
      <c r="BN76" s="16">
        <f t="shared" si="185"/>
        <v>0</v>
      </c>
      <c r="BO76" s="16">
        <f t="shared" si="186"/>
        <v>0</v>
      </c>
      <c r="BP76" s="16">
        <f t="shared" si="187"/>
        <v>0</v>
      </c>
      <c r="BQ76" s="16">
        <f t="shared" si="188"/>
        <v>0</v>
      </c>
      <c r="BR76" s="16">
        <f t="shared" si="189"/>
        <v>0</v>
      </c>
      <c r="BS76" s="16">
        <f t="shared" si="190"/>
        <v>0</v>
      </c>
      <c r="BT76" s="16">
        <f t="shared" si="191"/>
        <v>0</v>
      </c>
    </row>
    <row r="77" spans="2:72" x14ac:dyDescent="0.2">
      <c r="B77" s="16">
        <f>N('Registru mijloace fixe'!$I77)</f>
        <v>0</v>
      </c>
      <c r="C77" s="27">
        <f>N('Registru mijloace fixe'!$J77)</f>
        <v>0</v>
      </c>
      <c r="D77" s="16" t="str">
        <f>'Registru mijloace fixe'!$K77&amp;""</f>
        <v/>
      </c>
      <c r="E77" s="16">
        <f t="shared" si="128"/>
        <v>1.5</v>
      </c>
      <c r="F77" s="16">
        <f t="shared" si="129"/>
        <v>0.5</v>
      </c>
      <c r="G77" s="16">
        <f t="shared" si="130"/>
        <v>0</v>
      </c>
      <c r="H77" s="16">
        <f t="shared" si="131"/>
        <v>0</v>
      </c>
      <c r="I77" s="16">
        <f t="shared" si="132"/>
        <v>0</v>
      </c>
      <c r="J77" s="16">
        <f t="shared" si="133"/>
        <v>0</v>
      </c>
      <c r="K77" s="16">
        <f t="shared" si="134"/>
        <v>0</v>
      </c>
      <c r="L77" s="16">
        <f t="shared" si="135"/>
        <v>0</v>
      </c>
      <c r="M77" s="16">
        <f t="shared" si="136"/>
        <v>0</v>
      </c>
      <c r="N77" s="16">
        <f t="shared" si="137"/>
        <v>0</v>
      </c>
      <c r="O77" s="16">
        <f t="shared" si="138"/>
        <v>0</v>
      </c>
      <c r="P77" s="16">
        <f t="shared" si="139"/>
        <v>0</v>
      </c>
      <c r="Q77" s="16">
        <f t="shared" si="140"/>
        <v>0</v>
      </c>
      <c r="R77" s="16">
        <f t="shared" si="141"/>
        <v>0</v>
      </c>
      <c r="S77" s="16">
        <f t="shared" si="142"/>
        <v>0</v>
      </c>
      <c r="T77" s="16">
        <f t="shared" si="143"/>
        <v>0</v>
      </c>
      <c r="U77" s="16">
        <f t="shared" si="144"/>
        <v>0</v>
      </c>
      <c r="V77" s="16">
        <f t="shared" si="145"/>
        <v>0</v>
      </c>
      <c r="W77" s="16">
        <f t="shared" si="146"/>
        <v>0</v>
      </c>
      <c r="X77" s="16">
        <f t="shared" si="147"/>
        <v>0</v>
      </c>
      <c r="Y77" s="16">
        <f t="shared" si="148"/>
        <v>0</v>
      </c>
      <c r="Z77" s="16">
        <f t="shared" si="149"/>
        <v>0</v>
      </c>
      <c r="AA77" s="16">
        <f t="shared" si="150"/>
        <v>0</v>
      </c>
      <c r="AB77" s="16">
        <f t="shared" si="151"/>
        <v>0</v>
      </c>
      <c r="AC77" s="16">
        <f t="shared" si="152"/>
        <v>0</v>
      </c>
      <c r="AD77" s="16">
        <f t="shared" si="153"/>
        <v>0</v>
      </c>
      <c r="AE77" s="16">
        <f t="shared" si="154"/>
        <v>0</v>
      </c>
      <c r="AF77" s="16">
        <f t="shared" si="155"/>
        <v>0</v>
      </c>
      <c r="AG77" s="16">
        <f t="shared" si="156"/>
        <v>0</v>
      </c>
      <c r="AH77" s="16">
        <f t="shared" si="157"/>
        <v>0</v>
      </c>
      <c r="AI77" s="16">
        <f t="shared" si="158"/>
        <v>0</v>
      </c>
      <c r="AJ77" s="16">
        <f t="shared" si="159"/>
        <v>0</v>
      </c>
      <c r="AK77" s="16"/>
      <c r="AL77" s="16"/>
      <c r="AM77" s="16">
        <f>IF(NOT(ISNUMBER('Registru mijloace fixe'!$R77)),0,MAX(0,MIN(((YEAR(LunaRef)-YEAR('Registru mijloace fixe'!$R77))*12+MONTH(LunaRef)-MONTH('Registru mijloace fixe'!$R77)+1)-1,IF(ISNUMBER('Registru mijloace fixe'!$N77),((YEAR('Registru mijloace fixe'!$N77)-YEAR('Registru mijloace fixe'!$R77))*12+MONTH('Registru mijloace fixe'!$N77)-MONTH('Registru mijloace fixe'!$R77)+1),9999),C77*12)))</f>
        <v>0</v>
      </c>
      <c r="AN77" s="27">
        <f>IF(NOT(ISNUMBER('Registru mijloace fixe'!$R77)),0,MAX(0,MIN(((YEAR(LunaRef)-YEAR('Registru mijloace fixe'!$R77))*12+MONTH(LunaRef)-MONTH('Registru mijloace fixe'!$R77)+1),IF(ISNUMBER('Registru mijloace fixe'!$N77),((YEAR('Registru mijloace fixe'!$N77)-YEAR('Registru mijloace fixe'!$R77))*12+MONTH('Registru mijloace fixe'!$N77)-MONTH('Registru mijloace fixe'!$R77)+1),9999),C77*12)))</f>
        <v>0</v>
      </c>
      <c r="AO77" s="16">
        <f t="shared" si="160"/>
        <v>0</v>
      </c>
      <c r="AP77" s="16">
        <f t="shared" si="161"/>
        <v>0</v>
      </c>
      <c r="AQ77" s="16">
        <f t="shared" si="162"/>
        <v>0</v>
      </c>
      <c r="AR77" s="16">
        <f t="shared" si="163"/>
        <v>0</v>
      </c>
      <c r="AS77" s="16">
        <f t="shared" si="164"/>
        <v>0</v>
      </c>
      <c r="AT77" s="16">
        <f t="shared" si="165"/>
        <v>0</v>
      </c>
      <c r="AU77" s="16">
        <f t="shared" si="166"/>
        <v>0</v>
      </c>
      <c r="AV77" s="16">
        <f t="shared" si="167"/>
        <v>0</v>
      </c>
      <c r="AW77" s="16">
        <f t="shared" si="168"/>
        <v>0</v>
      </c>
      <c r="AX77" s="16">
        <f t="shared" si="169"/>
        <v>0</v>
      </c>
      <c r="AY77" s="16">
        <f t="shared" si="170"/>
        <v>0</v>
      </c>
      <c r="AZ77" s="16">
        <f t="shared" si="171"/>
        <v>0</v>
      </c>
      <c r="BA77" s="16">
        <f t="shared" si="172"/>
        <v>0</v>
      </c>
      <c r="BB77" s="16">
        <f t="shared" si="173"/>
        <v>0</v>
      </c>
      <c r="BC77" s="16">
        <f t="shared" si="174"/>
        <v>0</v>
      </c>
      <c r="BD77" s="16">
        <f t="shared" si="175"/>
        <v>0</v>
      </c>
      <c r="BE77" s="16">
        <f t="shared" si="176"/>
        <v>0</v>
      </c>
      <c r="BF77" s="16">
        <f t="shared" si="177"/>
        <v>0</v>
      </c>
      <c r="BG77" s="16">
        <f t="shared" si="178"/>
        <v>0</v>
      </c>
      <c r="BH77" s="16">
        <f t="shared" si="179"/>
        <v>0</v>
      </c>
      <c r="BI77" s="16">
        <f t="shared" si="180"/>
        <v>0</v>
      </c>
      <c r="BJ77" s="16">
        <f t="shared" si="181"/>
        <v>0</v>
      </c>
      <c r="BK77" s="16">
        <f t="shared" si="182"/>
        <v>0</v>
      </c>
      <c r="BL77" s="16">
        <f t="shared" si="183"/>
        <v>0</v>
      </c>
      <c r="BM77" s="16">
        <f t="shared" si="184"/>
        <v>0</v>
      </c>
      <c r="BN77" s="16">
        <f t="shared" si="185"/>
        <v>0</v>
      </c>
      <c r="BO77" s="16">
        <f t="shared" si="186"/>
        <v>0</v>
      </c>
      <c r="BP77" s="16">
        <f t="shared" si="187"/>
        <v>0</v>
      </c>
      <c r="BQ77" s="16">
        <f t="shared" si="188"/>
        <v>0</v>
      </c>
      <c r="BR77" s="16">
        <f t="shared" si="189"/>
        <v>0</v>
      </c>
      <c r="BS77" s="16">
        <f t="shared" si="190"/>
        <v>0</v>
      </c>
      <c r="BT77" s="16">
        <f t="shared" si="191"/>
        <v>0</v>
      </c>
    </row>
    <row r="78" spans="2:72" x14ac:dyDescent="0.2">
      <c r="B78" s="16">
        <f>N('Registru mijloace fixe'!$I78)</f>
        <v>0</v>
      </c>
      <c r="C78" s="27">
        <f>N('Registru mijloace fixe'!$J78)</f>
        <v>0</v>
      </c>
      <c r="D78" s="16" t="str">
        <f>'Registru mijloace fixe'!$K78&amp;""</f>
        <v/>
      </c>
      <c r="E78" s="16">
        <f t="shared" si="128"/>
        <v>1.5</v>
      </c>
      <c r="F78" s="16">
        <f t="shared" si="129"/>
        <v>0.5</v>
      </c>
      <c r="G78" s="16">
        <f t="shared" si="130"/>
        <v>0</v>
      </c>
      <c r="H78" s="16">
        <f t="shared" si="131"/>
        <v>0</v>
      </c>
      <c r="I78" s="16">
        <f t="shared" si="132"/>
        <v>0</v>
      </c>
      <c r="J78" s="16">
        <f t="shared" si="133"/>
        <v>0</v>
      </c>
      <c r="K78" s="16">
        <f t="shared" si="134"/>
        <v>0</v>
      </c>
      <c r="L78" s="16">
        <f t="shared" si="135"/>
        <v>0</v>
      </c>
      <c r="M78" s="16">
        <f t="shared" si="136"/>
        <v>0</v>
      </c>
      <c r="N78" s="16">
        <f t="shared" si="137"/>
        <v>0</v>
      </c>
      <c r="O78" s="16">
        <f t="shared" si="138"/>
        <v>0</v>
      </c>
      <c r="P78" s="16">
        <f t="shared" si="139"/>
        <v>0</v>
      </c>
      <c r="Q78" s="16">
        <f t="shared" si="140"/>
        <v>0</v>
      </c>
      <c r="R78" s="16">
        <f t="shared" si="141"/>
        <v>0</v>
      </c>
      <c r="S78" s="16">
        <f t="shared" si="142"/>
        <v>0</v>
      </c>
      <c r="T78" s="16">
        <f t="shared" si="143"/>
        <v>0</v>
      </c>
      <c r="U78" s="16">
        <f t="shared" si="144"/>
        <v>0</v>
      </c>
      <c r="V78" s="16">
        <f t="shared" si="145"/>
        <v>0</v>
      </c>
      <c r="W78" s="16">
        <f t="shared" si="146"/>
        <v>0</v>
      </c>
      <c r="X78" s="16">
        <f t="shared" si="147"/>
        <v>0</v>
      </c>
      <c r="Y78" s="16">
        <f t="shared" si="148"/>
        <v>0</v>
      </c>
      <c r="Z78" s="16">
        <f t="shared" si="149"/>
        <v>0</v>
      </c>
      <c r="AA78" s="16">
        <f t="shared" si="150"/>
        <v>0</v>
      </c>
      <c r="AB78" s="16">
        <f t="shared" si="151"/>
        <v>0</v>
      </c>
      <c r="AC78" s="16">
        <f t="shared" si="152"/>
        <v>0</v>
      </c>
      <c r="AD78" s="16">
        <f t="shared" si="153"/>
        <v>0</v>
      </c>
      <c r="AE78" s="16">
        <f t="shared" si="154"/>
        <v>0</v>
      </c>
      <c r="AF78" s="16">
        <f t="shared" si="155"/>
        <v>0</v>
      </c>
      <c r="AG78" s="16">
        <f t="shared" si="156"/>
        <v>0</v>
      </c>
      <c r="AH78" s="16">
        <f t="shared" si="157"/>
        <v>0</v>
      </c>
      <c r="AI78" s="16">
        <f t="shared" si="158"/>
        <v>0</v>
      </c>
      <c r="AJ78" s="16">
        <f t="shared" si="159"/>
        <v>0</v>
      </c>
      <c r="AK78" s="16"/>
      <c r="AL78" s="16"/>
      <c r="AM78" s="16">
        <f>IF(NOT(ISNUMBER('Registru mijloace fixe'!$R78)),0,MAX(0,MIN(((YEAR(LunaRef)-YEAR('Registru mijloace fixe'!$R78))*12+MONTH(LunaRef)-MONTH('Registru mijloace fixe'!$R78)+1)-1,IF(ISNUMBER('Registru mijloace fixe'!$N78),((YEAR('Registru mijloace fixe'!$N78)-YEAR('Registru mijloace fixe'!$R78))*12+MONTH('Registru mijloace fixe'!$N78)-MONTH('Registru mijloace fixe'!$R78)+1),9999),C78*12)))</f>
        <v>0</v>
      </c>
      <c r="AN78" s="27">
        <f>IF(NOT(ISNUMBER('Registru mijloace fixe'!$R78)),0,MAX(0,MIN(((YEAR(LunaRef)-YEAR('Registru mijloace fixe'!$R78))*12+MONTH(LunaRef)-MONTH('Registru mijloace fixe'!$R78)+1),IF(ISNUMBER('Registru mijloace fixe'!$N78),((YEAR('Registru mijloace fixe'!$N78)-YEAR('Registru mijloace fixe'!$R78))*12+MONTH('Registru mijloace fixe'!$N78)-MONTH('Registru mijloace fixe'!$R78)+1),9999),C78*12)))</f>
        <v>0</v>
      </c>
      <c r="AO78" s="16">
        <f t="shared" si="160"/>
        <v>0</v>
      </c>
      <c r="AP78" s="16">
        <f t="shared" si="161"/>
        <v>0</v>
      </c>
      <c r="AQ78" s="16">
        <f t="shared" si="162"/>
        <v>0</v>
      </c>
      <c r="AR78" s="16">
        <f t="shared" si="163"/>
        <v>0</v>
      </c>
      <c r="AS78" s="16">
        <f t="shared" si="164"/>
        <v>0</v>
      </c>
      <c r="AT78" s="16">
        <f t="shared" si="165"/>
        <v>0</v>
      </c>
      <c r="AU78" s="16">
        <f t="shared" si="166"/>
        <v>0</v>
      </c>
      <c r="AV78" s="16">
        <f t="shared" si="167"/>
        <v>0</v>
      </c>
      <c r="AW78" s="16">
        <f t="shared" si="168"/>
        <v>0</v>
      </c>
      <c r="AX78" s="16">
        <f t="shared" si="169"/>
        <v>0</v>
      </c>
      <c r="AY78" s="16">
        <f t="shared" si="170"/>
        <v>0</v>
      </c>
      <c r="AZ78" s="16">
        <f t="shared" si="171"/>
        <v>0</v>
      </c>
      <c r="BA78" s="16">
        <f t="shared" si="172"/>
        <v>0</v>
      </c>
      <c r="BB78" s="16">
        <f t="shared" si="173"/>
        <v>0</v>
      </c>
      <c r="BC78" s="16">
        <f t="shared" si="174"/>
        <v>0</v>
      </c>
      <c r="BD78" s="16">
        <f t="shared" si="175"/>
        <v>0</v>
      </c>
      <c r="BE78" s="16">
        <f t="shared" si="176"/>
        <v>0</v>
      </c>
      <c r="BF78" s="16">
        <f t="shared" si="177"/>
        <v>0</v>
      </c>
      <c r="BG78" s="16">
        <f t="shared" si="178"/>
        <v>0</v>
      </c>
      <c r="BH78" s="16">
        <f t="shared" si="179"/>
        <v>0</v>
      </c>
      <c r="BI78" s="16">
        <f t="shared" si="180"/>
        <v>0</v>
      </c>
      <c r="BJ78" s="16">
        <f t="shared" si="181"/>
        <v>0</v>
      </c>
      <c r="BK78" s="16">
        <f t="shared" si="182"/>
        <v>0</v>
      </c>
      <c r="BL78" s="16">
        <f t="shared" si="183"/>
        <v>0</v>
      </c>
      <c r="BM78" s="16">
        <f t="shared" si="184"/>
        <v>0</v>
      </c>
      <c r="BN78" s="16">
        <f t="shared" si="185"/>
        <v>0</v>
      </c>
      <c r="BO78" s="16">
        <f t="shared" si="186"/>
        <v>0</v>
      </c>
      <c r="BP78" s="16">
        <f t="shared" si="187"/>
        <v>0</v>
      </c>
      <c r="BQ78" s="16">
        <f t="shared" si="188"/>
        <v>0</v>
      </c>
      <c r="BR78" s="16">
        <f t="shared" si="189"/>
        <v>0</v>
      </c>
      <c r="BS78" s="16">
        <f t="shared" si="190"/>
        <v>0</v>
      </c>
      <c r="BT78" s="16">
        <f t="shared" si="191"/>
        <v>0</v>
      </c>
    </row>
    <row r="79" spans="2:72" x14ac:dyDescent="0.2">
      <c r="B79" s="16">
        <f>N('Registru mijloace fixe'!$I79)</f>
        <v>0</v>
      </c>
      <c r="C79" s="27">
        <f>N('Registru mijloace fixe'!$J79)</f>
        <v>0</v>
      </c>
      <c r="D79" s="16" t="str">
        <f>'Registru mijloace fixe'!$K79&amp;""</f>
        <v/>
      </c>
      <c r="E79" s="16">
        <f t="shared" si="128"/>
        <v>1.5</v>
      </c>
      <c r="F79" s="16">
        <f t="shared" si="129"/>
        <v>0.5</v>
      </c>
      <c r="G79" s="16">
        <f t="shared" si="130"/>
        <v>0</v>
      </c>
      <c r="H79" s="16">
        <f t="shared" si="131"/>
        <v>0</v>
      </c>
      <c r="I79" s="16">
        <f t="shared" si="132"/>
        <v>0</v>
      </c>
      <c r="J79" s="16">
        <f t="shared" si="133"/>
        <v>0</v>
      </c>
      <c r="K79" s="16">
        <f t="shared" si="134"/>
        <v>0</v>
      </c>
      <c r="L79" s="16">
        <f t="shared" si="135"/>
        <v>0</v>
      </c>
      <c r="M79" s="16">
        <f t="shared" si="136"/>
        <v>0</v>
      </c>
      <c r="N79" s="16">
        <f t="shared" si="137"/>
        <v>0</v>
      </c>
      <c r="O79" s="16">
        <f t="shared" si="138"/>
        <v>0</v>
      </c>
      <c r="P79" s="16">
        <f t="shared" si="139"/>
        <v>0</v>
      </c>
      <c r="Q79" s="16">
        <f t="shared" si="140"/>
        <v>0</v>
      </c>
      <c r="R79" s="16">
        <f t="shared" si="141"/>
        <v>0</v>
      </c>
      <c r="S79" s="16">
        <f t="shared" si="142"/>
        <v>0</v>
      </c>
      <c r="T79" s="16">
        <f t="shared" si="143"/>
        <v>0</v>
      </c>
      <c r="U79" s="16">
        <f t="shared" si="144"/>
        <v>0</v>
      </c>
      <c r="V79" s="16">
        <f t="shared" si="145"/>
        <v>0</v>
      </c>
      <c r="W79" s="16">
        <f t="shared" si="146"/>
        <v>0</v>
      </c>
      <c r="X79" s="16">
        <f t="shared" si="147"/>
        <v>0</v>
      </c>
      <c r="Y79" s="16">
        <f t="shared" si="148"/>
        <v>0</v>
      </c>
      <c r="Z79" s="16">
        <f t="shared" si="149"/>
        <v>0</v>
      </c>
      <c r="AA79" s="16">
        <f t="shared" si="150"/>
        <v>0</v>
      </c>
      <c r="AB79" s="16">
        <f t="shared" si="151"/>
        <v>0</v>
      </c>
      <c r="AC79" s="16">
        <f t="shared" si="152"/>
        <v>0</v>
      </c>
      <c r="AD79" s="16">
        <f t="shared" si="153"/>
        <v>0</v>
      </c>
      <c r="AE79" s="16">
        <f t="shared" si="154"/>
        <v>0</v>
      </c>
      <c r="AF79" s="16">
        <f t="shared" si="155"/>
        <v>0</v>
      </c>
      <c r="AG79" s="16">
        <f t="shared" si="156"/>
        <v>0</v>
      </c>
      <c r="AH79" s="16">
        <f t="shared" si="157"/>
        <v>0</v>
      </c>
      <c r="AI79" s="16">
        <f t="shared" si="158"/>
        <v>0</v>
      </c>
      <c r="AJ79" s="16">
        <f t="shared" si="159"/>
        <v>0</v>
      </c>
      <c r="AK79" s="16"/>
      <c r="AL79" s="16"/>
      <c r="AM79" s="16">
        <f>IF(NOT(ISNUMBER('Registru mijloace fixe'!$R79)),0,MAX(0,MIN(((YEAR(LunaRef)-YEAR('Registru mijloace fixe'!$R79))*12+MONTH(LunaRef)-MONTH('Registru mijloace fixe'!$R79)+1)-1,IF(ISNUMBER('Registru mijloace fixe'!$N79),((YEAR('Registru mijloace fixe'!$N79)-YEAR('Registru mijloace fixe'!$R79))*12+MONTH('Registru mijloace fixe'!$N79)-MONTH('Registru mijloace fixe'!$R79)+1),9999),C79*12)))</f>
        <v>0</v>
      </c>
      <c r="AN79" s="27">
        <f>IF(NOT(ISNUMBER('Registru mijloace fixe'!$R79)),0,MAX(0,MIN(((YEAR(LunaRef)-YEAR('Registru mijloace fixe'!$R79))*12+MONTH(LunaRef)-MONTH('Registru mijloace fixe'!$R79)+1),IF(ISNUMBER('Registru mijloace fixe'!$N79),((YEAR('Registru mijloace fixe'!$N79)-YEAR('Registru mijloace fixe'!$R79))*12+MONTH('Registru mijloace fixe'!$N79)-MONTH('Registru mijloace fixe'!$R79)+1),9999),C79*12)))</f>
        <v>0</v>
      </c>
      <c r="AO79" s="16">
        <f t="shared" si="160"/>
        <v>0</v>
      </c>
      <c r="AP79" s="16">
        <f t="shared" si="161"/>
        <v>0</v>
      </c>
      <c r="AQ79" s="16">
        <f t="shared" si="162"/>
        <v>0</v>
      </c>
      <c r="AR79" s="16">
        <f t="shared" si="163"/>
        <v>0</v>
      </c>
      <c r="AS79" s="16">
        <f t="shared" si="164"/>
        <v>0</v>
      </c>
      <c r="AT79" s="16">
        <f t="shared" si="165"/>
        <v>0</v>
      </c>
      <c r="AU79" s="16">
        <f t="shared" si="166"/>
        <v>0</v>
      </c>
      <c r="AV79" s="16">
        <f t="shared" si="167"/>
        <v>0</v>
      </c>
      <c r="AW79" s="16">
        <f t="shared" si="168"/>
        <v>0</v>
      </c>
      <c r="AX79" s="16">
        <f t="shared" si="169"/>
        <v>0</v>
      </c>
      <c r="AY79" s="16">
        <f t="shared" si="170"/>
        <v>0</v>
      </c>
      <c r="AZ79" s="16">
        <f t="shared" si="171"/>
        <v>0</v>
      </c>
      <c r="BA79" s="16">
        <f t="shared" si="172"/>
        <v>0</v>
      </c>
      <c r="BB79" s="16">
        <f t="shared" si="173"/>
        <v>0</v>
      </c>
      <c r="BC79" s="16">
        <f t="shared" si="174"/>
        <v>0</v>
      </c>
      <c r="BD79" s="16">
        <f t="shared" si="175"/>
        <v>0</v>
      </c>
      <c r="BE79" s="16">
        <f t="shared" si="176"/>
        <v>0</v>
      </c>
      <c r="BF79" s="16">
        <f t="shared" si="177"/>
        <v>0</v>
      </c>
      <c r="BG79" s="16">
        <f t="shared" si="178"/>
        <v>0</v>
      </c>
      <c r="BH79" s="16">
        <f t="shared" si="179"/>
        <v>0</v>
      </c>
      <c r="BI79" s="16">
        <f t="shared" si="180"/>
        <v>0</v>
      </c>
      <c r="BJ79" s="16">
        <f t="shared" si="181"/>
        <v>0</v>
      </c>
      <c r="BK79" s="16">
        <f t="shared" si="182"/>
        <v>0</v>
      </c>
      <c r="BL79" s="16">
        <f t="shared" si="183"/>
        <v>0</v>
      </c>
      <c r="BM79" s="16">
        <f t="shared" si="184"/>
        <v>0</v>
      </c>
      <c r="BN79" s="16">
        <f t="shared" si="185"/>
        <v>0</v>
      </c>
      <c r="BO79" s="16">
        <f t="shared" si="186"/>
        <v>0</v>
      </c>
      <c r="BP79" s="16">
        <f t="shared" si="187"/>
        <v>0</v>
      </c>
      <c r="BQ79" s="16">
        <f t="shared" si="188"/>
        <v>0</v>
      </c>
      <c r="BR79" s="16">
        <f t="shared" si="189"/>
        <v>0</v>
      </c>
      <c r="BS79" s="16">
        <f t="shared" si="190"/>
        <v>0</v>
      </c>
      <c r="BT79" s="16">
        <f t="shared" si="191"/>
        <v>0</v>
      </c>
    </row>
    <row r="80" spans="2:72" x14ac:dyDescent="0.2">
      <c r="B80" s="16">
        <f>N('Registru mijloace fixe'!$I80)</f>
        <v>0</v>
      </c>
      <c r="C80" s="27">
        <f>N('Registru mijloace fixe'!$J80)</f>
        <v>0</v>
      </c>
      <c r="D80" s="16" t="str">
        <f>'Registru mijloace fixe'!$K80&amp;""</f>
        <v/>
      </c>
      <c r="E80" s="16">
        <f t="shared" si="128"/>
        <v>1.5</v>
      </c>
      <c r="F80" s="16">
        <f t="shared" si="129"/>
        <v>0.5</v>
      </c>
      <c r="G80" s="16">
        <f t="shared" si="130"/>
        <v>0</v>
      </c>
      <c r="H80" s="16">
        <f t="shared" si="131"/>
        <v>0</v>
      </c>
      <c r="I80" s="16">
        <f t="shared" si="132"/>
        <v>0</v>
      </c>
      <c r="J80" s="16">
        <f t="shared" si="133"/>
        <v>0</v>
      </c>
      <c r="K80" s="16">
        <f t="shared" si="134"/>
        <v>0</v>
      </c>
      <c r="L80" s="16">
        <f t="shared" si="135"/>
        <v>0</v>
      </c>
      <c r="M80" s="16">
        <f t="shared" si="136"/>
        <v>0</v>
      </c>
      <c r="N80" s="16">
        <f t="shared" si="137"/>
        <v>0</v>
      </c>
      <c r="O80" s="16">
        <f t="shared" si="138"/>
        <v>0</v>
      </c>
      <c r="P80" s="16">
        <f t="shared" si="139"/>
        <v>0</v>
      </c>
      <c r="Q80" s="16">
        <f t="shared" si="140"/>
        <v>0</v>
      </c>
      <c r="R80" s="16">
        <f t="shared" si="141"/>
        <v>0</v>
      </c>
      <c r="S80" s="16">
        <f t="shared" si="142"/>
        <v>0</v>
      </c>
      <c r="T80" s="16">
        <f t="shared" si="143"/>
        <v>0</v>
      </c>
      <c r="U80" s="16">
        <f t="shared" si="144"/>
        <v>0</v>
      </c>
      <c r="V80" s="16">
        <f t="shared" si="145"/>
        <v>0</v>
      </c>
      <c r="W80" s="16">
        <f t="shared" si="146"/>
        <v>0</v>
      </c>
      <c r="X80" s="16">
        <f t="shared" si="147"/>
        <v>0</v>
      </c>
      <c r="Y80" s="16">
        <f t="shared" si="148"/>
        <v>0</v>
      </c>
      <c r="Z80" s="16">
        <f t="shared" si="149"/>
        <v>0</v>
      </c>
      <c r="AA80" s="16">
        <f t="shared" si="150"/>
        <v>0</v>
      </c>
      <c r="AB80" s="16">
        <f t="shared" si="151"/>
        <v>0</v>
      </c>
      <c r="AC80" s="16">
        <f t="shared" si="152"/>
        <v>0</v>
      </c>
      <c r="AD80" s="16">
        <f t="shared" si="153"/>
        <v>0</v>
      </c>
      <c r="AE80" s="16">
        <f t="shared" si="154"/>
        <v>0</v>
      </c>
      <c r="AF80" s="16">
        <f t="shared" si="155"/>
        <v>0</v>
      </c>
      <c r="AG80" s="16">
        <f t="shared" si="156"/>
        <v>0</v>
      </c>
      <c r="AH80" s="16">
        <f t="shared" si="157"/>
        <v>0</v>
      </c>
      <c r="AI80" s="16">
        <f t="shared" si="158"/>
        <v>0</v>
      </c>
      <c r="AJ80" s="16">
        <f t="shared" si="159"/>
        <v>0</v>
      </c>
      <c r="AK80" s="16"/>
      <c r="AL80" s="16"/>
      <c r="AM80" s="16">
        <f>IF(NOT(ISNUMBER('Registru mijloace fixe'!$R80)),0,MAX(0,MIN(((YEAR(LunaRef)-YEAR('Registru mijloace fixe'!$R80))*12+MONTH(LunaRef)-MONTH('Registru mijloace fixe'!$R80)+1)-1,IF(ISNUMBER('Registru mijloace fixe'!$N80),((YEAR('Registru mijloace fixe'!$N80)-YEAR('Registru mijloace fixe'!$R80))*12+MONTH('Registru mijloace fixe'!$N80)-MONTH('Registru mijloace fixe'!$R80)+1),9999),C80*12)))</f>
        <v>0</v>
      </c>
      <c r="AN80" s="27">
        <f>IF(NOT(ISNUMBER('Registru mijloace fixe'!$R80)),0,MAX(0,MIN(((YEAR(LunaRef)-YEAR('Registru mijloace fixe'!$R80))*12+MONTH(LunaRef)-MONTH('Registru mijloace fixe'!$R80)+1),IF(ISNUMBER('Registru mijloace fixe'!$N80),((YEAR('Registru mijloace fixe'!$N80)-YEAR('Registru mijloace fixe'!$R80))*12+MONTH('Registru mijloace fixe'!$N80)-MONTH('Registru mijloace fixe'!$R80)+1),9999),C80*12)))</f>
        <v>0</v>
      </c>
      <c r="AO80" s="16">
        <f t="shared" si="160"/>
        <v>0</v>
      </c>
      <c r="AP80" s="16">
        <f t="shared" si="161"/>
        <v>0</v>
      </c>
      <c r="AQ80" s="16">
        <f t="shared" si="162"/>
        <v>0</v>
      </c>
      <c r="AR80" s="16">
        <f t="shared" si="163"/>
        <v>0</v>
      </c>
      <c r="AS80" s="16">
        <f t="shared" si="164"/>
        <v>0</v>
      </c>
      <c r="AT80" s="16">
        <f t="shared" si="165"/>
        <v>0</v>
      </c>
      <c r="AU80" s="16">
        <f t="shared" si="166"/>
        <v>0</v>
      </c>
      <c r="AV80" s="16">
        <f t="shared" si="167"/>
        <v>0</v>
      </c>
      <c r="AW80" s="16">
        <f t="shared" si="168"/>
        <v>0</v>
      </c>
      <c r="AX80" s="16">
        <f t="shared" si="169"/>
        <v>0</v>
      </c>
      <c r="AY80" s="16">
        <f t="shared" si="170"/>
        <v>0</v>
      </c>
      <c r="AZ80" s="16">
        <f t="shared" si="171"/>
        <v>0</v>
      </c>
      <c r="BA80" s="16">
        <f t="shared" si="172"/>
        <v>0</v>
      </c>
      <c r="BB80" s="16">
        <f t="shared" si="173"/>
        <v>0</v>
      </c>
      <c r="BC80" s="16">
        <f t="shared" si="174"/>
        <v>0</v>
      </c>
      <c r="BD80" s="16">
        <f t="shared" si="175"/>
        <v>0</v>
      </c>
      <c r="BE80" s="16">
        <f t="shared" si="176"/>
        <v>0</v>
      </c>
      <c r="BF80" s="16">
        <f t="shared" si="177"/>
        <v>0</v>
      </c>
      <c r="BG80" s="16">
        <f t="shared" si="178"/>
        <v>0</v>
      </c>
      <c r="BH80" s="16">
        <f t="shared" si="179"/>
        <v>0</v>
      </c>
      <c r="BI80" s="16">
        <f t="shared" si="180"/>
        <v>0</v>
      </c>
      <c r="BJ80" s="16">
        <f t="shared" si="181"/>
        <v>0</v>
      </c>
      <c r="BK80" s="16">
        <f t="shared" si="182"/>
        <v>0</v>
      </c>
      <c r="BL80" s="16">
        <f t="shared" si="183"/>
        <v>0</v>
      </c>
      <c r="BM80" s="16">
        <f t="shared" si="184"/>
        <v>0</v>
      </c>
      <c r="BN80" s="16">
        <f t="shared" si="185"/>
        <v>0</v>
      </c>
      <c r="BO80" s="16">
        <f t="shared" si="186"/>
        <v>0</v>
      </c>
      <c r="BP80" s="16">
        <f t="shared" si="187"/>
        <v>0</v>
      </c>
      <c r="BQ80" s="16">
        <f t="shared" si="188"/>
        <v>0</v>
      </c>
      <c r="BR80" s="16">
        <f t="shared" si="189"/>
        <v>0</v>
      </c>
      <c r="BS80" s="16">
        <f t="shared" si="190"/>
        <v>0</v>
      </c>
      <c r="BT80" s="16">
        <f t="shared" si="191"/>
        <v>0</v>
      </c>
    </row>
    <row r="81" spans="2:72" x14ac:dyDescent="0.2">
      <c r="B81" s="16">
        <f>N('Registru mijloace fixe'!$I81)</f>
        <v>0</v>
      </c>
      <c r="C81" s="27">
        <f>N('Registru mijloace fixe'!$J81)</f>
        <v>0</v>
      </c>
      <c r="D81" s="16" t="str">
        <f>'Registru mijloace fixe'!$K81&amp;""</f>
        <v/>
      </c>
      <c r="E81" s="16">
        <f t="shared" si="128"/>
        <v>1.5</v>
      </c>
      <c r="F81" s="16">
        <f t="shared" si="129"/>
        <v>0.5</v>
      </c>
      <c r="G81" s="16">
        <f t="shared" si="130"/>
        <v>0</v>
      </c>
      <c r="H81" s="16">
        <f t="shared" si="131"/>
        <v>0</v>
      </c>
      <c r="I81" s="16">
        <f t="shared" si="132"/>
        <v>0</v>
      </c>
      <c r="J81" s="16">
        <f t="shared" si="133"/>
        <v>0</v>
      </c>
      <c r="K81" s="16">
        <f t="shared" si="134"/>
        <v>0</v>
      </c>
      <c r="L81" s="16">
        <f t="shared" si="135"/>
        <v>0</v>
      </c>
      <c r="M81" s="16">
        <f t="shared" si="136"/>
        <v>0</v>
      </c>
      <c r="N81" s="16">
        <f t="shared" si="137"/>
        <v>0</v>
      </c>
      <c r="O81" s="16">
        <f t="shared" si="138"/>
        <v>0</v>
      </c>
      <c r="P81" s="16">
        <f t="shared" si="139"/>
        <v>0</v>
      </c>
      <c r="Q81" s="16">
        <f t="shared" si="140"/>
        <v>0</v>
      </c>
      <c r="R81" s="16">
        <f t="shared" si="141"/>
        <v>0</v>
      </c>
      <c r="S81" s="16">
        <f t="shared" si="142"/>
        <v>0</v>
      </c>
      <c r="T81" s="16">
        <f t="shared" si="143"/>
        <v>0</v>
      </c>
      <c r="U81" s="16">
        <f t="shared" si="144"/>
        <v>0</v>
      </c>
      <c r="V81" s="16">
        <f t="shared" si="145"/>
        <v>0</v>
      </c>
      <c r="W81" s="16">
        <f t="shared" si="146"/>
        <v>0</v>
      </c>
      <c r="X81" s="16">
        <f t="shared" si="147"/>
        <v>0</v>
      </c>
      <c r="Y81" s="16">
        <f t="shared" si="148"/>
        <v>0</v>
      </c>
      <c r="Z81" s="16">
        <f t="shared" si="149"/>
        <v>0</v>
      </c>
      <c r="AA81" s="16">
        <f t="shared" si="150"/>
        <v>0</v>
      </c>
      <c r="AB81" s="16">
        <f t="shared" si="151"/>
        <v>0</v>
      </c>
      <c r="AC81" s="16">
        <f t="shared" si="152"/>
        <v>0</v>
      </c>
      <c r="AD81" s="16">
        <f t="shared" si="153"/>
        <v>0</v>
      </c>
      <c r="AE81" s="16">
        <f t="shared" si="154"/>
        <v>0</v>
      </c>
      <c r="AF81" s="16">
        <f t="shared" si="155"/>
        <v>0</v>
      </c>
      <c r="AG81" s="16">
        <f t="shared" si="156"/>
        <v>0</v>
      </c>
      <c r="AH81" s="16">
        <f t="shared" si="157"/>
        <v>0</v>
      </c>
      <c r="AI81" s="16">
        <f t="shared" si="158"/>
        <v>0</v>
      </c>
      <c r="AJ81" s="16">
        <f t="shared" si="159"/>
        <v>0</v>
      </c>
      <c r="AK81" s="16"/>
      <c r="AL81" s="16"/>
      <c r="AM81" s="16">
        <f>IF(NOT(ISNUMBER('Registru mijloace fixe'!$R81)),0,MAX(0,MIN(((YEAR(LunaRef)-YEAR('Registru mijloace fixe'!$R81))*12+MONTH(LunaRef)-MONTH('Registru mijloace fixe'!$R81)+1)-1,IF(ISNUMBER('Registru mijloace fixe'!$N81),((YEAR('Registru mijloace fixe'!$N81)-YEAR('Registru mijloace fixe'!$R81))*12+MONTH('Registru mijloace fixe'!$N81)-MONTH('Registru mijloace fixe'!$R81)+1),9999),C81*12)))</f>
        <v>0</v>
      </c>
      <c r="AN81" s="27">
        <f>IF(NOT(ISNUMBER('Registru mijloace fixe'!$R81)),0,MAX(0,MIN(((YEAR(LunaRef)-YEAR('Registru mijloace fixe'!$R81))*12+MONTH(LunaRef)-MONTH('Registru mijloace fixe'!$R81)+1),IF(ISNUMBER('Registru mijloace fixe'!$N81),((YEAR('Registru mijloace fixe'!$N81)-YEAR('Registru mijloace fixe'!$R81))*12+MONTH('Registru mijloace fixe'!$N81)-MONTH('Registru mijloace fixe'!$R81)+1),9999),C81*12)))</f>
        <v>0</v>
      </c>
      <c r="AO81" s="16">
        <f t="shared" si="160"/>
        <v>0</v>
      </c>
      <c r="AP81" s="16">
        <f t="shared" si="161"/>
        <v>0</v>
      </c>
      <c r="AQ81" s="16">
        <f t="shared" si="162"/>
        <v>0</v>
      </c>
      <c r="AR81" s="16">
        <f t="shared" si="163"/>
        <v>0</v>
      </c>
      <c r="AS81" s="16">
        <f t="shared" si="164"/>
        <v>0</v>
      </c>
      <c r="AT81" s="16">
        <f t="shared" si="165"/>
        <v>0</v>
      </c>
      <c r="AU81" s="16">
        <f t="shared" si="166"/>
        <v>0</v>
      </c>
      <c r="AV81" s="16">
        <f t="shared" si="167"/>
        <v>0</v>
      </c>
      <c r="AW81" s="16">
        <f t="shared" si="168"/>
        <v>0</v>
      </c>
      <c r="AX81" s="16">
        <f t="shared" si="169"/>
        <v>0</v>
      </c>
      <c r="AY81" s="16">
        <f t="shared" si="170"/>
        <v>0</v>
      </c>
      <c r="AZ81" s="16">
        <f t="shared" si="171"/>
        <v>0</v>
      </c>
      <c r="BA81" s="16">
        <f t="shared" si="172"/>
        <v>0</v>
      </c>
      <c r="BB81" s="16">
        <f t="shared" si="173"/>
        <v>0</v>
      </c>
      <c r="BC81" s="16">
        <f t="shared" si="174"/>
        <v>0</v>
      </c>
      <c r="BD81" s="16">
        <f t="shared" si="175"/>
        <v>0</v>
      </c>
      <c r="BE81" s="16">
        <f t="shared" si="176"/>
        <v>0</v>
      </c>
      <c r="BF81" s="16">
        <f t="shared" si="177"/>
        <v>0</v>
      </c>
      <c r="BG81" s="16">
        <f t="shared" si="178"/>
        <v>0</v>
      </c>
      <c r="BH81" s="16">
        <f t="shared" si="179"/>
        <v>0</v>
      </c>
      <c r="BI81" s="16">
        <f t="shared" si="180"/>
        <v>0</v>
      </c>
      <c r="BJ81" s="16">
        <f t="shared" si="181"/>
        <v>0</v>
      </c>
      <c r="BK81" s="16">
        <f t="shared" si="182"/>
        <v>0</v>
      </c>
      <c r="BL81" s="16">
        <f t="shared" si="183"/>
        <v>0</v>
      </c>
      <c r="BM81" s="16">
        <f t="shared" si="184"/>
        <v>0</v>
      </c>
      <c r="BN81" s="16">
        <f t="shared" si="185"/>
        <v>0</v>
      </c>
      <c r="BO81" s="16">
        <f t="shared" si="186"/>
        <v>0</v>
      </c>
      <c r="BP81" s="16">
        <f t="shared" si="187"/>
        <v>0</v>
      </c>
      <c r="BQ81" s="16">
        <f t="shared" si="188"/>
        <v>0</v>
      </c>
      <c r="BR81" s="16">
        <f t="shared" si="189"/>
        <v>0</v>
      </c>
      <c r="BS81" s="16">
        <f t="shared" si="190"/>
        <v>0</v>
      </c>
      <c r="BT81" s="16">
        <f t="shared" si="191"/>
        <v>0</v>
      </c>
    </row>
    <row r="82" spans="2:72" x14ac:dyDescent="0.2">
      <c r="B82" s="16">
        <f>N('Registru mijloace fixe'!$I82)</f>
        <v>0</v>
      </c>
      <c r="C82" s="27">
        <f>N('Registru mijloace fixe'!$J82)</f>
        <v>0</v>
      </c>
      <c r="D82" s="16" t="str">
        <f>'Registru mijloace fixe'!$K82&amp;""</f>
        <v/>
      </c>
      <c r="E82" s="16">
        <f t="shared" si="128"/>
        <v>1.5</v>
      </c>
      <c r="F82" s="16">
        <f t="shared" si="129"/>
        <v>0.5</v>
      </c>
      <c r="G82" s="16">
        <f t="shared" si="130"/>
        <v>0</v>
      </c>
      <c r="H82" s="16">
        <f t="shared" si="131"/>
        <v>0</v>
      </c>
      <c r="I82" s="16">
        <f t="shared" si="132"/>
        <v>0</v>
      </c>
      <c r="J82" s="16">
        <f t="shared" si="133"/>
        <v>0</v>
      </c>
      <c r="K82" s="16">
        <f t="shared" si="134"/>
        <v>0</v>
      </c>
      <c r="L82" s="16">
        <f t="shared" si="135"/>
        <v>0</v>
      </c>
      <c r="M82" s="16">
        <f t="shared" si="136"/>
        <v>0</v>
      </c>
      <c r="N82" s="16">
        <f t="shared" si="137"/>
        <v>0</v>
      </c>
      <c r="O82" s="16">
        <f t="shared" si="138"/>
        <v>0</v>
      </c>
      <c r="P82" s="16">
        <f t="shared" si="139"/>
        <v>0</v>
      </c>
      <c r="Q82" s="16">
        <f t="shared" si="140"/>
        <v>0</v>
      </c>
      <c r="R82" s="16">
        <f t="shared" si="141"/>
        <v>0</v>
      </c>
      <c r="S82" s="16">
        <f t="shared" si="142"/>
        <v>0</v>
      </c>
      <c r="T82" s="16">
        <f t="shared" si="143"/>
        <v>0</v>
      </c>
      <c r="U82" s="16">
        <f t="shared" si="144"/>
        <v>0</v>
      </c>
      <c r="V82" s="16">
        <f t="shared" si="145"/>
        <v>0</v>
      </c>
      <c r="W82" s="16">
        <f t="shared" si="146"/>
        <v>0</v>
      </c>
      <c r="X82" s="16">
        <f t="shared" si="147"/>
        <v>0</v>
      </c>
      <c r="Y82" s="16">
        <f t="shared" si="148"/>
        <v>0</v>
      </c>
      <c r="Z82" s="16">
        <f t="shared" si="149"/>
        <v>0</v>
      </c>
      <c r="AA82" s="16">
        <f t="shared" si="150"/>
        <v>0</v>
      </c>
      <c r="AB82" s="16">
        <f t="shared" si="151"/>
        <v>0</v>
      </c>
      <c r="AC82" s="16">
        <f t="shared" si="152"/>
        <v>0</v>
      </c>
      <c r="AD82" s="16">
        <f t="shared" si="153"/>
        <v>0</v>
      </c>
      <c r="AE82" s="16">
        <f t="shared" si="154"/>
        <v>0</v>
      </c>
      <c r="AF82" s="16">
        <f t="shared" si="155"/>
        <v>0</v>
      </c>
      <c r="AG82" s="16">
        <f t="shared" si="156"/>
        <v>0</v>
      </c>
      <c r="AH82" s="16">
        <f t="shared" si="157"/>
        <v>0</v>
      </c>
      <c r="AI82" s="16">
        <f t="shared" si="158"/>
        <v>0</v>
      </c>
      <c r="AJ82" s="16">
        <f t="shared" si="159"/>
        <v>0</v>
      </c>
      <c r="AK82" s="16"/>
      <c r="AL82" s="16"/>
      <c r="AM82" s="16">
        <f>IF(NOT(ISNUMBER('Registru mijloace fixe'!$R82)),0,MAX(0,MIN(((YEAR(LunaRef)-YEAR('Registru mijloace fixe'!$R82))*12+MONTH(LunaRef)-MONTH('Registru mijloace fixe'!$R82)+1)-1,IF(ISNUMBER('Registru mijloace fixe'!$N82),((YEAR('Registru mijloace fixe'!$N82)-YEAR('Registru mijloace fixe'!$R82))*12+MONTH('Registru mijloace fixe'!$N82)-MONTH('Registru mijloace fixe'!$R82)+1),9999),C82*12)))</f>
        <v>0</v>
      </c>
      <c r="AN82" s="27">
        <f>IF(NOT(ISNUMBER('Registru mijloace fixe'!$R82)),0,MAX(0,MIN(((YEAR(LunaRef)-YEAR('Registru mijloace fixe'!$R82))*12+MONTH(LunaRef)-MONTH('Registru mijloace fixe'!$R82)+1),IF(ISNUMBER('Registru mijloace fixe'!$N82),((YEAR('Registru mijloace fixe'!$N82)-YEAR('Registru mijloace fixe'!$R82))*12+MONTH('Registru mijloace fixe'!$N82)-MONTH('Registru mijloace fixe'!$R82)+1),9999),C82*12)))</f>
        <v>0</v>
      </c>
      <c r="AO82" s="16">
        <f t="shared" si="160"/>
        <v>0</v>
      </c>
      <c r="AP82" s="16">
        <f t="shared" si="161"/>
        <v>0</v>
      </c>
      <c r="AQ82" s="16">
        <f t="shared" si="162"/>
        <v>0</v>
      </c>
      <c r="AR82" s="16">
        <f t="shared" si="163"/>
        <v>0</v>
      </c>
      <c r="AS82" s="16">
        <f t="shared" si="164"/>
        <v>0</v>
      </c>
      <c r="AT82" s="16">
        <f t="shared" si="165"/>
        <v>0</v>
      </c>
      <c r="AU82" s="16">
        <f t="shared" si="166"/>
        <v>0</v>
      </c>
      <c r="AV82" s="16">
        <f t="shared" si="167"/>
        <v>0</v>
      </c>
      <c r="AW82" s="16">
        <f t="shared" si="168"/>
        <v>0</v>
      </c>
      <c r="AX82" s="16">
        <f t="shared" si="169"/>
        <v>0</v>
      </c>
      <c r="AY82" s="16">
        <f t="shared" si="170"/>
        <v>0</v>
      </c>
      <c r="AZ82" s="16">
        <f t="shared" si="171"/>
        <v>0</v>
      </c>
      <c r="BA82" s="16">
        <f t="shared" si="172"/>
        <v>0</v>
      </c>
      <c r="BB82" s="16">
        <f t="shared" si="173"/>
        <v>0</v>
      </c>
      <c r="BC82" s="16">
        <f t="shared" si="174"/>
        <v>0</v>
      </c>
      <c r="BD82" s="16">
        <f t="shared" si="175"/>
        <v>0</v>
      </c>
      <c r="BE82" s="16">
        <f t="shared" si="176"/>
        <v>0</v>
      </c>
      <c r="BF82" s="16">
        <f t="shared" si="177"/>
        <v>0</v>
      </c>
      <c r="BG82" s="16">
        <f t="shared" si="178"/>
        <v>0</v>
      </c>
      <c r="BH82" s="16">
        <f t="shared" si="179"/>
        <v>0</v>
      </c>
      <c r="BI82" s="16">
        <f t="shared" si="180"/>
        <v>0</v>
      </c>
      <c r="BJ82" s="16">
        <f t="shared" si="181"/>
        <v>0</v>
      </c>
      <c r="BK82" s="16">
        <f t="shared" si="182"/>
        <v>0</v>
      </c>
      <c r="BL82" s="16">
        <f t="shared" si="183"/>
        <v>0</v>
      </c>
      <c r="BM82" s="16">
        <f t="shared" si="184"/>
        <v>0</v>
      </c>
      <c r="BN82" s="16">
        <f t="shared" si="185"/>
        <v>0</v>
      </c>
      <c r="BO82" s="16">
        <f t="shared" si="186"/>
        <v>0</v>
      </c>
      <c r="BP82" s="16">
        <f t="shared" si="187"/>
        <v>0</v>
      </c>
      <c r="BQ82" s="16">
        <f t="shared" si="188"/>
        <v>0</v>
      </c>
      <c r="BR82" s="16">
        <f t="shared" si="189"/>
        <v>0</v>
      </c>
      <c r="BS82" s="16">
        <f t="shared" si="190"/>
        <v>0</v>
      </c>
      <c r="BT82" s="16">
        <f t="shared" si="191"/>
        <v>0</v>
      </c>
    </row>
    <row r="83" spans="2:72" x14ac:dyDescent="0.2">
      <c r="B83" s="16">
        <f>N('Registru mijloace fixe'!$I83)</f>
        <v>0</v>
      </c>
      <c r="C83" s="27">
        <f>N('Registru mijloace fixe'!$J83)</f>
        <v>0</v>
      </c>
      <c r="D83" s="16" t="str">
        <f>'Registru mijloace fixe'!$K83&amp;""</f>
        <v/>
      </c>
      <c r="E83" s="16">
        <f t="shared" si="128"/>
        <v>1.5</v>
      </c>
      <c r="F83" s="16">
        <f t="shared" si="129"/>
        <v>0.5</v>
      </c>
      <c r="G83" s="16">
        <f t="shared" si="130"/>
        <v>0</v>
      </c>
      <c r="H83" s="16">
        <f t="shared" si="131"/>
        <v>0</v>
      </c>
      <c r="I83" s="16">
        <f t="shared" si="132"/>
        <v>0</v>
      </c>
      <c r="J83" s="16">
        <f t="shared" si="133"/>
        <v>0</v>
      </c>
      <c r="K83" s="16">
        <f t="shared" si="134"/>
        <v>0</v>
      </c>
      <c r="L83" s="16">
        <f t="shared" si="135"/>
        <v>0</v>
      </c>
      <c r="M83" s="16">
        <f t="shared" si="136"/>
        <v>0</v>
      </c>
      <c r="N83" s="16">
        <f t="shared" si="137"/>
        <v>0</v>
      </c>
      <c r="O83" s="16">
        <f t="shared" si="138"/>
        <v>0</v>
      </c>
      <c r="P83" s="16">
        <f t="shared" si="139"/>
        <v>0</v>
      </c>
      <c r="Q83" s="16">
        <f t="shared" si="140"/>
        <v>0</v>
      </c>
      <c r="R83" s="16">
        <f t="shared" si="141"/>
        <v>0</v>
      </c>
      <c r="S83" s="16">
        <f t="shared" si="142"/>
        <v>0</v>
      </c>
      <c r="T83" s="16">
        <f t="shared" si="143"/>
        <v>0</v>
      </c>
      <c r="U83" s="16">
        <f t="shared" si="144"/>
        <v>0</v>
      </c>
      <c r="V83" s="16">
        <f t="shared" si="145"/>
        <v>0</v>
      </c>
      <c r="W83" s="16">
        <f t="shared" si="146"/>
        <v>0</v>
      </c>
      <c r="X83" s="16">
        <f t="shared" si="147"/>
        <v>0</v>
      </c>
      <c r="Y83" s="16">
        <f t="shared" si="148"/>
        <v>0</v>
      </c>
      <c r="Z83" s="16">
        <f t="shared" si="149"/>
        <v>0</v>
      </c>
      <c r="AA83" s="16">
        <f t="shared" si="150"/>
        <v>0</v>
      </c>
      <c r="AB83" s="16">
        <f t="shared" si="151"/>
        <v>0</v>
      </c>
      <c r="AC83" s="16">
        <f t="shared" si="152"/>
        <v>0</v>
      </c>
      <c r="AD83" s="16">
        <f t="shared" si="153"/>
        <v>0</v>
      </c>
      <c r="AE83" s="16">
        <f t="shared" si="154"/>
        <v>0</v>
      </c>
      <c r="AF83" s="16">
        <f t="shared" si="155"/>
        <v>0</v>
      </c>
      <c r="AG83" s="16">
        <f t="shared" si="156"/>
        <v>0</v>
      </c>
      <c r="AH83" s="16">
        <f t="shared" si="157"/>
        <v>0</v>
      </c>
      <c r="AI83" s="16">
        <f t="shared" si="158"/>
        <v>0</v>
      </c>
      <c r="AJ83" s="16">
        <f t="shared" si="159"/>
        <v>0</v>
      </c>
      <c r="AK83" s="16"/>
      <c r="AL83" s="16"/>
      <c r="AM83" s="16">
        <f>IF(NOT(ISNUMBER('Registru mijloace fixe'!$R83)),0,MAX(0,MIN(((YEAR(LunaRef)-YEAR('Registru mijloace fixe'!$R83))*12+MONTH(LunaRef)-MONTH('Registru mijloace fixe'!$R83)+1)-1,IF(ISNUMBER('Registru mijloace fixe'!$N83),((YEAR('Registru mijloace fixe'!$N83)-YEAR('Registru mijloace fixe'!$R83))*12+MONTH('Registru mijloace fixe'!$N83)-MONTH('Registru mijloace fixe'!$R83)+1),9999),C83*12)))</f>
        <v>0</v>
      </c>
      <c r="AN83" s="27">
        <f>IF(NOT(ISNUMBER('Registru mijloace fixe'!$R83)),0,MAX(0,MIN(((YEAR(LunaRef)-YEAR('Registru mijloace fixe'!$R83))*12+MONTH(LunaRef)-MONTH('Registru mijloace fixe'!$R83)+1),IF(ISNUMBER('Registru mijloace fixe'!$N83),((YEAR('Registru mijloace fixe'!$N83)-YEAR('Registru mijloace fixe'!$R83))*12+MONTH('Registru mijloace fixe'!$N83)-MONTH('Registru mijloace fixe'!$R83)+1),9999),C83*12)))</f>
        <v>0</v>
      </c>
      <c r="AO83" s="16">
        <f t="shared" si="160"/>
        <v>0</v>
      </c>
      <c r="AP83" s="16">
        <f t="shared" si="161"/>
        <v>0</v>
      </c>
      <c r="AQ83" s="16">
        <f t="shared" si="162"/>
        <v>0</v>
      </c>
      <c r="AR83" s="16">
        <f t="shared" si="163"/>
        <v>0</v>
      </c>
      <c r="AS83" s="16">
        <f t="shared" si="164"/>
        <v>0</v>
      </c>
      <c r="AT83" s="16">
        <f t="shared" si="165"/>
        <v>0</v>
      </c>
      <c r="AU83" s="16">
        <f t="shared" si="166"/>
        <v>0</v>
      </c>
      <c r="AV83" s="16">
        <f t="shared" si="167"/>
        <v>0</v>
      </c>
      <c r="AW83" s="16">
        <f t="shared" si="168"/>
        <v>0</v>
      </c>
      <c r="AX83" s="16">
        <f t="shared" si="169"/>
        <v>0</v>
      </c>
      <c r="AY83" s="16">
        <f t="shared" si="170"/>
        <v>0</v>
      </c>
      <c r="AZ83" s="16">
        <f t="shared" si="171"/>
        <v>0</v>
      </c>
      <c r="BA83" s="16">
        <f t="shared" si="172"/>
        <v>0</v>
      </c>
      <c r="BB83" s="16">
        <f t="shared" si="173"/>
        <v>0</v>
      </c>
      <c r="BC83" s="16">
        <f t="shared" si="174"/>
        <v>0</v>
      </c>
      <c r="BD83" s="16">
        <f t="shared" si="175"/>
        <v>0</v>
      </c>
      <c r="BE83" s="16">
        <f t="shared" si="176"/>
        <v>0</v>
      </c>
      <c r="BF83" s="16">
        <f t="shared" si="177"/>
        <v>0</v>
      </c>
      <c r="BG83" s="16">
        <f t="shared" si="178"/>
        <v>0</v>
      </c>
      <c r="BH83" s="16">
        <f t="shared" si="179"/>
        <v>0</v>
      </c>
      <c r="BI83" s="16">
        <f t="shared" si="180"/>
        <v>0</v>
      </c>
      <c r="BJ83" s="16">
        <f t="shared" si="181"/>
        <v>0</v>
      </c>
      <c r="BK83" s="16">
        <f t="shared" si="182"/>
        <v>0</v>
      </c>
      <c r="BL83" s="16">
        <f t="shared" si="183"/>
        <v>0</v>
      </c>
      <c r="BM83" s="16">
        <f t="shared" si="184"/>
        <v>0</v>
      </c>
      <c r="BN83" s="16">
        <f t="shared" si="185"/>
        <v>0</v>
      </c>
      <c r="BO83" s="16">
        <f t="shared" si="186"/>
        <v>0</v>
      </c>
      <c r="BP83" s="16">
        <f t="shared" si="187"/>
        <v>0</v>
      </c>
      <c r="BQ83" s="16">
        <f t="shared" si="188"/>
        <v>0</v>
      </c>
      <c r="BR83" s="16">
        <f t="shared" si="189"/>
        <v>0</v>
      </c>
      <c r="BS83" s="16">
        <f t="shared" si="190"/>
        <v>0</v>
      </c>
      <c r="BT83" s="16">
        <f t="shared" si="191"/>
        <v>0</v>
      </c>
    </row>
    <row r="84" spans="2:72" x14ac:dyDescent="0.2">
      <c r="B84" s="16">
        <f>N('Registru mijloace fixe'!$I84)</f>
        <v>0</v>
      </c>
      <c r="C84" s="27">
        <f>N('Registru mijloace fixe'!$J84)</f>
        <v>0</v>
      </c>
      <c r="D84" s="16" t="str">
        <f>'Registru mijloace fixe'!$K84&amp;""</f>
        <v/>
      </c>
      <c r="E84" s="16">
        <f t="shared" si="128"/>
        <v>1.5</v>
      </c>
      <c r="F84" s="16">
        <f t="shared" si="129"/>
        <v>0.5</v>
      </c>
      <c r="G84" s="16">
        <f t="shared" si="130"/>
        <v>0</v>
      </c>
      <c r="H84" s="16">
        <f t="shared" si="131"/>
        <v>0</v>
      </c>
      <c r="I84" s="16">
        <f t="shared" si="132"/>
        <v>0</v>
      </c>
      <c r="J84" s="16">
        <f t="shared" si="133"/>
        <v>0</v>
      </c>
      <c r="K84" s="16">
        <f t="shared" si="134"/>
        <v>0</v>
      </c>
      <c r="L84" s="16">
        <f t="shared" si="135"/>
        <v>0</v>
      </c>
      <c r="M84" s="16">
        <f t="shared" si="136"/>
        <v>0</v>
      </c>
      <c r="N84" s="16">
        <f t="shared" si="137"/>
        <v>0</v>
      </c>
      <c r="O84" s="16">
        <f t="shared" si="138"/>
        <v>0</v>
      </c>
      <c r="P84" s="16">
        <f t="shared" si="139"/>
        <v>0</v>
      </c>
      <c r="Q84" s="16">
        <f t="shared" si="140"/>
        <v>0</v>
      </c>
      <c r="R84" s="16">
        <f t="shared" si="141"/>
        <v>0</v>
      </c>
      <c r="S84" s="16">
        <f t="shared" si="142"/>
        <v>0</v>
      </c>
      <c r="T84" s="16">
        <f t="shared" si="143"/>
        <v>0</v>
      </c>
      <c r="U84" s="16">
        <f t="shared" si="144"/>
        <v>0</v>
      </c>
      <c r="V84" s="16">
        <f t="shared" si="145"/>
        <v>0</v>
      </c>
      <c r="W84" s="16">
        <f t="shared" si="146"/>
        <v>0</v>
      </c>
      <c r="X84" s="16">
        <f t="shared" si="147"/>
        <v>0</v>
      </c>
      <c r="Y84" s="16">
        <f t="shared" si="148"/>
        <v>0</v>
      </c>
      <c r="Z84" s="16">
        <f t="shared" si="149"/>
        <v>0</v>
      </c>
      <c r="AA84" s="16">
        <f t="shared" si="150"/>
        <v>0</v>
      </c>
      <c r="AB84" s="16">
        <f t="shared" si="151"/>
        <v>0</v>
      </c>
      <c r="AC84" s="16">
        <f t="shared" si="152"/>
        <v>0</v>
      </c>
      <c r="AD84" s="16">
        <f t="shared" si="153"/>
        <v>0</v>
      </c>
      <c r="AE84" s="16">
        <f t="shared" si="154"/>
        <v>0</v>
      </c>
      <c r="AF84" s="16">
        <f t="shared" si="155"/>
        <v>0</v>
      </c>
      <c r="AG84" s="16">
        <f t="shared" si="156"/>
        <v>0</v>
      </c>
      <c r="AH84" s="16">
        <f t="shared" si="157"/>
        <v>0</v>
      </c>
      <c r="AI84" s="16">
        <f t="shared" si="158"/>
        <v>0</v>
      </c>
      <c r="AJ84" s="16">
        <f t="shared" si="159"/>
        <v>0</v>
      </c>
      <c r="AK84" s="16"/>
      <c r="AL84" s="16"/>
      <c r="AM84" s="16">
        <f>IF(NOT(ISNUMBER('Registru mijloace fixe'!$R84)),0,MAX(0,MIN(((YEAR(LunaRef)-YEAR('Registru mijloace fixe'!$R84))*12+MONTH(LunaRef)-MONTH('Registru mijloace fixe'!$R84)+1)-1,IF(ISNUMBER('Registru mijloace fixe'!$N84),((YEAR('Registru mijloace fixe'!$N84)-YEAR('Registru mijloace fixe'!$R84))*12+MONTH('Registru mijloace fixe'!$N84)-MONTH('Registru mijloace fixe'!$R84)+1),9999),C84*12)))</f>
        <v>0</v>
      </c>
      <c r="AN84" s="27">
        <f>IF(NOT(ISNUMBER('Registru mijloace fixe'!$R84)),0,MAX(0,MIN(((YEAR(LunaRef)-YEAR('Registru mijloace fixe'!$R84))*12+MONTH(LunaRef)-MONTH('Registru mijloace fixe'!$R84)+1),IF(ISNUMBER('Registru mijloace fixe'!$N84),((YEAR('Registru mijloace fixe'!$N84)-YEAR('Registru mijloace fixe'!$R84))*12+MONTH('Registru mijloace fixe'!$N84)-MONTH('Registru mijloace fixe'!$R84)+1),9999),C84*12)))</f>
        <v>0</v>
      </c>
      <c r="AO84" s="16">
        <f t="shared" si="160"/>
        <v>0</v>
      </c>
      <c r="AP84" s="16">
        <f t="shared" si="161"/>
        <v>0</v>
      </c>
      <c r="AQ84" s="16">
        <f t="shared" si="162"/>
        <v>0</v>
      </c>
      <c r="AR84" s="16">
        <f t="shared" si="163"/>
        <v>0</v>
      </c>
      <c r="AS84" s="16">
        <f t="shared" si="164"/>
        <v>0</v>
      </c>
      <c r="AT84" s="16">
        <f t="shared" si="165"/>
        <v>0</v>
      </c>
      <c r="AU84" s="16">
        <f t="shared" si="166"/>
        <v>0</v>
      </c>
      <c r="AV84" s="16">
        <f t="shared" si="167"/>
        <v>0</v>
      </c>
      <c r="AW84" s="16">
        <f t="shared" si="168"/>
        <v>0</v>
      </c>
      <c r="AX84" s="16">
        <f t="shared" si="169"/>
        <v>0</v>
      </c>
      <c r="AY84" s="16">
        <f t="shared" si="170"/>
        <v>0</v>
      </c>
      <c r="AZ84" s="16">
        <f t="shared" si="171"/>
        <v>0</v>
      </c>
      <c r="BA84" s="16">
        <f t="shared" si="172"/>
        <v>0</v>
      </c>
      <c r="BB84" s="16">
        <f t="shared" si="173"/>
        <v>0</v>
      </c>
      <c r="BC84" s="16">
        <f t="shared" si="174"/>
        <v>0</v>
      </c>
      <c r="BD84" s="16">
        <f t="shared" si="175"/>
        <v>0</v>
      </c>
      <c r="BE84" s="16">
        <f t="shared" si="176"/>
        <v>0</v>
      </c>
      <c r="BF84" s="16">
        <f t="shared" si="177"/>
        <v>0</v>
      </c>
      <c r="BG84" s="16">
        <f t="shared" si="178"/>
        <v>0</v>
      </c>
      <c r="BH84" s="16">
        <f t="shared" si="179"/>
        <v>0</v>
      </c>
      <c r="BI84" s="16">
        <f t="shared" si="180"/>
        <v>0</v>
      </c>
      <c r="BJ84" s="16">
        <f t="shared" si="181"/>
        <v>0</v>
      </c>
      <c r="BK84" s="16">
        <f t="shared" si="182"/>
        <v>0</v>
      </c>
      <c r="BL84" s="16">
        <f t="shared" si="183"/>
        <v>0</v>
      </c>
      <c r="BM84" s="16">
        <f t="shared" si="184"/>
        <v>0</v>
      </c>
      <c r="BN84" s="16">
        <f t="shared" si="185"/>
        <v>0</v>
      </c>
      <c r="BO84" s="16">
        <f t="shared" si="186"/>
        <v>0</v>
      </c>
      <c r="BP84" s="16">
        <f t="shared" si="187"/>
        <v>0</v>
      </c>
      <c r="BQ84" s="16">
        <f t="shared" si="188"/>
        <v>0</v>
      </c>
      <c r="BR84" s="16">
        <f t="shared" si="189"/>
        <v>0</v>
      </c>
      <c r="BS84" s="16">
        <f t="shared" si="190"/>
        <v>0</v>
      </c>
      <c r="BT84" s="16">
        <f t="shared" si="191"/>
        <v>0</v>
      </c>
    </row>
    <row r="85" spans="2:72" x14ac:dyDescent="0.2">
      <c r="B85" s="16">
        <f>N('Registru mijloace fixe'!$I85)</f>
        <v>0</v>
      </c>
      <c r="C85" s="27">
        <f>N('Registru mijloace fixe'!$J85)</f>
        <v>0</v>
      </c>
      <c r="D85" s="16" t="str">
        <f>'Registru mijloace fixe'!$K85&amp;""</f>
        <v/>
      </c>
      <c r="E85" s="16">
        <f t="shared" si="128"/>
        <v>1.5</v>
      </c>
      <c r="F85" s="16">
        <f t="shared" si="129"/>
        <v>0.5</v>
      </c>
      <c r="G85" s="16">
        <f t="shared" si="130"/>
        <v>0</v>
      </c>
      <c r="H85" s="16">
        <f t="shared" si="131"/>
        <v>0</v>
      </c>
      <c r="I85" s="16">
        <f t="shared" si="132"/>
        <v>0</v>
      </c>
      <c r="J85" s="16">
        <f t="shared" si="133"/>
        <v>0</v>
      </c>
      <c r="K85" s="16">
        <f t="shared" si="134"/>
        <v>0</v>
      </c>
      <c r="L85" s="16">
        <f t="shared" si="135"/>
        <v>0</v>
      </c>
      <c r="M85" s="16">
        <f t="shared" si="136"/>
        <v>0</v>
      </c>
      <c r="N85" s="16">
        <f t="shared" si="137"/>
        <v>0</v>
      </c>
      <c r="O85" s="16">
        <f t="shared" si="138"/>
        <v>0</v>
      </c>
      <c r="P85" s="16">
        <f t="shared" si="139"/>
        <v>0</v>
      </c>
      <c r="Q85" s="16">
        <f t="shared" si="140"/>
        <v>0</v>
      </c>
      <c r="R85" s="16">
        <f t="shared" si="141"/>
        <v>0</v>
      </c>
      <c r="S85" s="16">
        <f t="shared" si="142"/>
        <v>0</v>
      </c>
      <c r="T85" s="16">
        <f t="shared" si="143"/>
        <v>0</v>
      </c>
      <c r="U85" s="16">
        <f t="shared" si="144"/>
        <v>0</v>
      </c>
      <c r="V85" s="16">
        <f t="shared" si="145"/>
        <v>0</v>
      </c>
      <c r="W85" s="16">
        <f t="shared" si="146"/>
        <v>0</v>
      </c>
      <c r="X85" s="16">
        <f t="shared" si="147"/>
        <v>0</v>
      </c>
      <c r="Y85" s="16">
        <f t="shared" si="148"/>
        <v>0</v>
      </c>
      <c r="Z85" s="16">
        <f t="shared" si="149"/>
        <v>0</v>
      </c>
      <c r="AA85" s="16">
        <f t="shared" si="150"/>
        <v>0</v>
      </c>
      <c r="AB85" s="16">
        <f t="shared" si="151"/>
        <v>0</v>
      </c>
      <c r="AC85" s="16">
        <f t="shared" si="152"/>
        <v>0</v>
      </c>
      <c r="AD85" s="16">
        <f t="shared" si="153"/>
        <v>0</v>
      </c>
      <c r="AE85" s="16">
        <f t="shared" si="154"/>
        <v>0</v>
      </c>
      <c r="AF85" s="16">
        <f t="shared" si="155"/>
        <v>0</v>
      </c>
      <c r="AG85" s="16">
        <f t="shared" si="156"/>
        <v>0</v>
      </c>
      <c r="AH85" s="16">
        <f t="shared" si="157"/>
        <v>0</v>
      </c>
      <c r="AI85" s="16">
        <f t="shared" si="158"/>
        <v>0</v>
      </c>
      <c r="AJ85" s="16">
        <f t="shared" si="159"/>
        <v>0</v>
      </c>
      <c r="AK85" s="16"/>
      <c r="AL85" s="16"/>
      <c r="AM85" s="16">
        <f>IF(NOT(ISNUMBER('Registru mijloace fixe'!$R85)),0,MAX(0,MIN(((YEAR(LunaRef)-YEAR('Registru mijloace fixe'!$R85))*12+MONTH(LunaRef)-MONTH('Registru mijloace fixe'!$R85)+1)-1,IF(ISNUMBER('Registru mijloace fixe'!$N85),((YEAR('Registru mijloace fixe'!$N85)-YEAR('Registru mijloace fixe'!$R85))*12+MONTH('Registru mijloace fixe'!$N85)-MONTH('Registru mijloace fixe'!$R85)+1),9999),C85*12)))</f>
        <v>0</v>
      </c>
      <c r="AN85" s="27">
        <f>IF(NOT(ISNUMBER('Registru mijloace fixe'!$R85)),0,MAX(0,MIN(((YEAR(LunaRef)-YEAR('Registru mijloace fixe'!$R85))*12+MONTH(LunaRef)-MONTH('Registru mijloace fixe'!$R85)+1),IF(ISNUMBER('Registru mijloace fixe'!$N85),((YEAR('Registru mijloace fixe'!$N85)-YEAR('Registru mijloace fixe'!$R85))*12+MONTH('Registru mijloace fixe'!$N85)-MONTH('Registru mijloace fixe'!$R85)+1),9999),C85*12)))</f>
        <v>0</v>
      </c>
      <c r="AO85" s="16">
        <f t="shared" si="160"/>
        <v>0</v>
      </c>
      <c r="AP85" s="16">
        <f t="shared" si="161"/>
        <v>0</v>
      </c>
      <c r="AQ85" s="16">
        <f t="shared" si="162"/>
        <v>0</v>
      </c>
      <c r="AR85" s="16">
        <f t="shared" si="163"/>
        <v>0</v>
      </c>
      <c r="AS85" s="16">
        <f t="shared" si="164"/>
        <v>0</v>
      </c>
      <c r="AT85" s="16">
        <f t="shared" si="165"/>
        <v>0</v>
      </c>
      <c r="AU85" s="16">
        <f t="shared" si="166"/>
        <v>0</v>
      </c>
      <c r="AV85" s="16">
        <f t="shared" si="167"/>
        <v>0</v>
      </c>
      <c r="AW85" s="16">
        <f t="shared" si="168"/>
        <v>0</v>
      </c>
      <c r="AX85" s="16">
        <f t="shared" si="169"/>
        <v>0</v>
      </c>
      <c r="AY85" s="16">
        <f t="shared" si="170"/>
        <v>0</v>
      </c>
      <c r="AZ85" s="16">
        <f t="shared" si="171"/>
        <v>0</v>
      </c>
      <c r="BA85" s="16">
        <f t="shared" si="172"/>
        <v>0</v>
      </c>
      <c r="BB85" s="16">
        <f t="shared" si="173"/>
        <v>0</v>
      </c>
      <c r="BC85" s="16">
        <f t="shared" si="174"/>
        <v>0</v>
      </c>
      <c r="BD85" s="16">
        <f t="shared" si="175"/>
        <v>0</v>
      </c>
      <c r="BE85" s="16">
        <f t="shared" si="176"/>
        <v>0</v>
      </c>
      <c r="BF85" s="16">
        <f t="shared" si="177"/>
        <v>0</v>
      </c>
      <c r="BG85" s="16">
        <f t="shared" si="178"/>
        <v>0</v>
      </c>
      <c r="BH85" s="16">
        <f t="shared" si="179"/>
        <v>0</v>
      </c>
      <c r="BI85" s="16">
        <f t="shared" si="180"/>
        <v>0</v>
      </c>
      <c r="BJ85" s="16">
        <f t="shared" si="181"/>
        <v>0</v>
      </c>
      <c r="BK85" s="16">
        <f t="shared" si="182"/>
        <v>0</v>
      </c>
      <c r="BL85" s="16">
        <f t="shared" si="183"/>
        <v>0</v>
      </c>
      <c r="BM85" s="16">
        <f t="shared" si="184"/>
        <v>0</v>
      </c>
      <c r="BN85" s="16">
        <f t="shared" si="185"/>
        <v>0</v>
      </c>
      <c r="BO85" s="16">
        <f t="shared" si="186"/>
        <v>0</v>
      </c>
      <c r="BP85" s="16">
        <f t="shared" si="187"/>
        <v>0</v>
      </c>
      <c r="BQ85" s="16">
        <f t="shared" si="188"/>
        <v>0</v>
      </c>
      <c r="BR85" s="16">
        <f t="shared" si="189"/>
        <v>0</v>
      </c>
      <c r="BS85" s="16">
        <f t="shared" si="190"/>
        <v>0</v>
      </c>
      <c r="BT85" s="16">
        <f t="shared" si="191"/>
        <v>0</v>
      </c>
    </row>
    <row r="86" spans="2:72" x14ac:dyDescent="0.2">
      <c r="B86" s="16">
        <f>N('Registru mijloace fixe'!$I86)</f>
        <v>0</v>
      </c>
      <c r="C86" s="27">
        <f>N('Registru mijloace fixe'!$J86)</f>
        <v>0</v>
      </c>
      <c r="D86" s="16" t="str">
        <f>'Registru mijloace fixe'!$K86&amp;""</f>
        <v/>
      </c>
      <c r="E86" s="16">
        <f t="shared" si="128"/>
        <v>1.5</v>
      </c>
      <c r="F86" s="16">
        <f t="shared" si="129"/>
        <v>0.5</v>
      </c>
      <c r="G86" s="16">
        <f t="shared" si="130"/>
        <v>0</v>
      </c>
      <c r="H86" s="16">
        <f t="shared" si="131"/>
        <v>0</v>
      </c>
      <c r="I86" s="16">
        <f t="shared" si="132"/>
        <v>0</v>
      </c>
      <c r="J86" s="16">
        <f t="shared" si="133"/>
        <v>0</v>
      </c>
      <c r="K86" s="16">
        <f t="shared" si="134"/>
        <v>0</v>
      </c>
      <c r="L86" s="16">
        <f t="shared" si="135"/>
        <v>0</v>
      </c>
      <c r="M86" s="16">
        <f t="shared" si="136"/>
        <v>0</v>
      </c>
      <c r="N86" s="16">
        <f t="shared" si="137"/>
        <v>0</v>
      </c>
      <c r="O86" s="16">
        <f t="shared" si="138"/>
        <v>0</v>
      </c>
      <c r="P86" s="16">
        <f t="shared" si="139"/>
        <v>0</v>
      </c>
      <c r="Q86" s="16">
        <f t="shared" si="140"/>
        <v>0</v>
      </c>
      <c r="R86" s="16">
        <f t="shared" si="141"/>
        <v>0</v>
      </c>
      <c r="S86" s="16">
        <f t="shared" si="142"/>
        <v>0</v>
      </c>
      <c r="T86" s="16">
        <f t="shared" si="143"/>
        <v>0</v>
      </c>
      <c r="U86" s="16">
        <f t="shared" si="144"/>
        <v>0</v>
      </c>
      <c r="V86" s="16">
        <f t="shared" si="145"/>
        <v>0</v>
      </c>
      <c r="W86" s="16">
        <f t="shared" si="146"/>
        <v>0</v>
      </c>
      <c r="X86" s="16">
        <f t="shared" si="147"/>
        <v>0</v>
      </c>
      <c r="Y86" s="16">
        <f t="shared" si="148"/>
        <v>0</v>
      </c>
      <c r="Z86" s="16">
        <f t="shared" si="149"/>
        <v>0</v>
      </c>
      <c r="AA86" s="16">
        <f t="shared" si="150"/>
        <v>0</v>
      </c>
      <c r="AB86" s="16">
        <f t="shared" si="151"/>
        <v>0</v>
      </c>
      <c r="AC86" s="16">
        <f t="shared" si="152"/>
        <v>0</v>
      </c>
      <c r="AD86" s="16">
        <f t="shared" si="153"/>
        <v>0</v>
      </c>
      <c r="AE86" s="16">
        <f t="shared" si="154"/>
        <v>0</v>
      </c>
      <c r="AF86" s="16">
        <f t="shared" si="155"/>
        <v>0</v>
      </c>
      <c r="AG86" s="16">
        <f t="shared" si="156"/>
        <v>0</v>
      </c>
      <c r="AH86" s="16">
        <f t="shared" si="157"/>
        <v>0</v>
      </c>
      <c r="AI86" s="16">
        <f t="shared" si="158"/>
        <v>0</v>
      </c>
      <c r="AJ86" s="16">
        <f t="shared" si="159"/>
        <v>0</v>
      </c>
      <c r="AK86" s="16"/>
      <c r="AL86" s="16"/>
      <c r="AM86" s="16">
        <f>IF(NOT(ISNUMBER('Registru mijloace fixe'!$R86)),0,MAX(0,MIN(((YEAR(LunaRef)-YEAR('Registru mijloace fixe'!$R86))*12+MONTH(LunaRef)-MONTH('Registru mijloace fixe'!$R86)+1)-1,IF(ISNUMBER('Registru mijloace fixe'!$N86),((YEAR('Registru mijloace fixe'!$N86)-YEAR('Registru mijloace fixe'!$R86))*12+MONTH('Registru mijloace fixe'!$N86)-MONTH('Registru mijloace fixe'!$R86)+1),9999),C86*12)))</f>
        <v>0</v>
      </c>
      <c r="AN86" s="27">
        <f>IF(NOT(ISNUMBER('Registru mijloace fixe'!$R86)),0,MAX(0,MIN(((YEAR(LunaRef)-YEAR('Registru mijloace fixe'!$R86))*12+MONTH(LunaRef)-MONTH('Registru mijloace fixe'!$R86)+1),IF(ISNUMBER('Registru mijloace fixe'!$N86),((YEAR('Registru mijloace fixe'!$N86)-YEAR('Registru mijloace fixe'!$R86))*12+MONTH('Registru mijloace fixe'!$N86)-MONTH('Registru mijloace fixe'!$R86)+1),9999),C86*12)))</f>
        <v>0</v>
      </c>
      <c r="AO86" s="16">
        <f t="shared" si="160"/>
        <v>0</v>
      </c>
      <c r="AP86" s="16">
        <f t="shared" si="161"/>
        <v>0</v>
      </c>
      <c r="AQ86" s="16">
        <f t="shared" si="162"/>
        <v>0</v>
      </c>
      <c r="AR86" s="16">
        <f t="shared" si="163"/>
        <v>0</v>
      </c>
      <c r="AS86" s="16">
        <f t="shared" si="164"/>
        <v>0</v>
      </c>
      <c r="AT86" s="16">
        <f t="shared" si="165"/>
        <v>0</v>
      </c>
      <c r="AU86" s="16">
        <f t="shared" si="166"/>
        <v>0</v>
      </c>
      <c r="AV86" s="16">
        <f t="shared" si="167"/>
        <v>0</v>
      </c>
      <c r="AW86" s="16">
        <f t="shared" si="168"/>
        <v>0</v>
      </c>
      <c r="AX86" s="16">
        <f t="shared" si="169"/>
        <v>0</v>
      </c>
      <c r="AY86" s="16">
        <f t="shared" si="170"/>
        <v>0</v>
      </c>
      <c r="AZ86" s="16">
        <f t="shared" si="171"/>
        <v>0</v>
      </c>
      <c r="BA86" s="16">
        <f t="shared" si="172"/>
        <v>0</v>
      </c>
      <c r="BB86" s="16">
        <f t="shared" si="173"/>
        <v>0</v>
      </c>
      <c r="BC86" s="16">
        <f t="shared" si="174"/>
        <v>0</v>
      </c>
      <c r="BD86" s="16">
        <f t="shared" si="175"/>
        <v>0</v>
      </c>
      <c r="BE86" s="16">
        <f t="shared" si="176"/>
        <v>0</v>
      </c>
      <c r="BF86" s="16">
        <f t="shared" si="177"/>
        <v>0</v>
      </c>
      <c r="BG86" s="16">
        <f t="shared" si="178"/>
        <v>0</v>
      </c>
      <c r="BH86" s="16">
        <f t="shared" si="179"/>
        <v>0</v>
      </c>
      <c r="BI86" s="16">
        <f t="shared" si="180"/>
        <v>0</v>
      </c>
      <c r="BJ86" s="16">
        <f t="shared" si="181"/>
        <v>0</v>
      </c>
      <c r="BK86" s="16">
        <f t="shared" si="182"/>
        <v>0</v>
      </c>
      <c r="BL86" s="16">
        <f t="shared" si="183"/>
        <v>0</v>
      </c>
      <c r="BM86" s="16">
        <f t="shared" si="184"/>
        <v>0</v>
      </c>
      <c r="BN86" s="16">
        <f t="shared" si="185"/>
        <v>0</v>
      </c>
      <c r="BO86" s="16">
        <f t="shared" si="186"/>
        <v>0</v>
      </c>
      <c r="BP86" s="16">
        <f t="shared" si="187"/>
        <v>0</v>
      </c>
      <c r="BQ86" s="16">
        <f t="shared" si="188"/>
        <v>0</v>
      </c>
      <c r="BR86" s="16">
        <f t="shared" si="189"/>
        <v>0</v>
      </c>
      <c r="BS86" s="16">
        <f t="shared" si="190"/>
        <v>0</v>
      </c>
      <c r="BT86" s="16">
        <f t="shared" si="191"/>
        <v>0</v>
      </c>
    </row>
    <row r="87" spans="2:72" x14ac:dyDescent="0.2">
      <c r="B87" s="16">
        <f>N('Registru mijloace fixe'!$I87)</f>
        <v>0</v>
      </c>
      <c r="C87" s="27">
        <f>N('Registru mijloace fixe'!$J87)</f>
        <v>0</v>
      </c>
      <c r="D87" s="16" t="str">
        <f>'Registru mijloace fixe'!$K87&amp;""</f>
        <v/>
      </c>
      <c r="E87" s="16">
        <f t="shared" si="128"/>
        <v>1.5</v>
      </c>
      <c r="F87" s="16">
        <f t="shared" si="129"/>
        <v>0.5</v>
      </c>
      <c r="G87" s="16">
        <f t="shared" si="130"/>
        <v>0</v>
      </c>
      <c r="H87" s="16">
        <f t="shared" si="131"/>
        <v>0</v>
      </c>
      <c r="I87" s="16">
        <f t="shared" si="132"/>
        <v>0</v>
      </c>
      <c r="J87" s="16">
        <f t="shared" si="133"/>
        <v>0</v>
      </c>
      <c r="K87" s="16">
        <f t="shared" si="134"/>
        <v>0</v>
      </c>
      <c r="L87" s="16">
        <f t="shared" si="135"/>
        <v>0</v>
      </c>
      <c r="M87" s="16">
        <f t="shared" si="136"/>
        <v>0</v>
      </c>
      <c r="N87" s="16">
        <f t="shared" si="137"/>
        <v>0</v>
      </c>
      <c r="O87" s="16">
        <f t="shared" si="138"/>
        <v>0</v>
      </c>
      <c r="P87" s="16">
        <f t="shared" si="139"/>
        <v>0</v>
      </c>
      <c r="Q87" s="16">
        <f t="shared" si="140"/>
        <v>0</v>
      </c>
      <c r="R87" s="16">
        <f t="shared" si="141"/>
        <v>0</v>
      </c>
      <c r="S87" s="16">
        <f t="shared" si="142"/>
        <v>0</v>
      </c>
      <c r="T87" s="16">
        <f t="shared" si="143"/>
        <v>0</v>
      </c>
      <c r="U87" s="16">
        <f t="shared" si="144"/>
        <v>0</v>
      </c>
      <c r="V87" s="16">
        <f t="shared" si="145"/>
        <v>0</v>
      </c>
      <c r="W87" s="16">
        <f t="shared" si="146"/>
        <v>0</v>
      </c>
      <c r="X87" s="16">
        <f t="shared" si="147"/>
        <v>0</v>
      </c>
      <c r="Y87" s="16">
        <f t="shared" si="148"/>
        <v>0</v>
      </c>
      <c r="Z87" s="16">
        <f t="shared" si="149"/>
        <v>0</v>
      </c>
      <c r="AA87" s="16">
        <f t="shared" si="150"/>
        <v>0</v>
      </c>
      <c r="AB87" s="16">
        <f t="shared" si="151"/>
        <v>0</v>
      </c>
      <c r="AC87" s="16">
        <f t="shared" si="152"/>
        <v>0</v>
      </c>
      <c r="AD87" s="16">
        <f t="shared" si="153"/>
        <v>0</v>
      </c>
      <c r="AE87" s="16">
        <f t="shared" si="154"/>
        <v>0</v>
      </c>
      <c r="AF87" s="16">
        <f t="shared" si="155"/>
        <v>0</v>
      </c>
      <c r="AG87" s="16">
        <f t="shared" si="156"/>
        <v>0</v>
      </c>
      <c r="AH87" s="16">
        <f t="shared" si="157"/>
        <v>0</v>
      </c>
      <c r="AI87" s="16">
        <f t="shared" si="158"/>
        <v>0</v>
      </c>
      <c r="AJ87" s="16">
        <f t="shared" si="159"/>
        <v>0</v>
      </c>
      <c r="AK87" s="16"/>
      <c r="AL87" s="16"/>
      <c r="AM87" s="16">
        <f>IF(NOT(ISNUMBER('Registru mijloace fixe'!$R87)),0,MAX(0,MIN(((YEAR(LunaRef)-YEAR('Registru mijloace fixe'!$R87))*12+MONTH(LunaRef)-MONTH('Registru mijloace fixe'!$R87)+1)-1,IF(ISNUMBER('Registru mijloace fixe'!$N87),((YEAR('Registru mijloace fixe'!$N87)-YEAR('Registru mijloace fixe'!$R87))*12+MONTH('Registru mijloace fixe'!$N87)-MONTH('Registru mijloace fixe'!$R87)+1),9999),C87*12)))</f>
        <v>0</v>
      </c>
      <c r="AN87" s="27">
        <f>IF(NOT(ISNUMBER('Registru mijloace fixe'!$R87)),0,MAX(0,MIN(((YEAR(LunaRef)-YEAR('Registru mijloace fixe'!$R87))*12+MONTH(LunaRef)-MONTH('Registru mijloace fixe'!$R87)+1),IF(ISNUMBER('Registru mijloace fixe'!$N87),((YEAR('Registru mijloace fixe'!$N87)-YEAR('Registru mijloace fixe'!$R87))*12+MONTH('Registru mijloace fixe'!$N87)-MONTH('Registru mijloace fixe'!$R87)+1),9999),C87*12)))</f>
        <v>0</v>
      </c>
      <c r="AO87" s="16">
        <f t="shared" si="160"/>
        <v>0</v>
      </c>
      <c r="AP87" s="16">
        <f t="shared" si="161"/>
        <v>0</v>
      </c>
      <c r="AQ87" s="16">
        <f t="shared" si="162"/>
        <v>0</v>
      </c>
      <c r="AR87" s="16">
        <f t="shared" si="163"/>
        <v>0</v>
      </c>
      <c r="AS87" s="16">
        <f t="shared" si="164"/>
        <v>0</v>
      </c>
      <c r="AT87" s="16">
        <f t="shared" si="165"/>
        <v>0</v>
      </c>
      <c r="AU87" s="16">
        <f t="shared" si="166"/>
        <v>0</v>
      </c>
      <c r="AV87" s="16">
        <f t="shared" si="167"/>
        <v>0</v>
      </c>
      <c r="AW87" s="16">
        <f t="shared" si="168"/>
        <v>0</v>
      </c>
      <c r="AX87" s="16">
        <f t="shared" si="169"/>
        <v>0</v>
      </c>
      <c r="AY87" s="16">
        <f t="shared" si="170"/>
        <v>0</v>
      </c>
      <c r="AZ87" s="16">
        <f t="shared" si="171"/>
        <v>0</v>
      </c>
      <c r="BA87" s="16">
        <f t="shared" si="172"/>
        <v>0</v>
      </c>
      <c r="BB87" s="16">
        <f t="shared" si="173"/>
        <v>0</v>
      </c>
      <c r="BC87" s="16">
        <f t="shared" si="174"/>
        <v>0</v>
      </c>
      <c r="BD87" s="16">
        <f t="shared" si="175"/>
        <v>0</v>
      </c>
      <c r="BE87" s="16">
        <f t="shared" si="176"/>
        <v>0</v>
      </c>
      <c r="BF87" s="16">
        <f t="shared" si="177"/>
        <v>0</v>
      </c>
      <c r="BG87" s="16">
        <f t="shared" si="178"/>
        <v>0</v>
      </c>
      <c r="BH87" s="16">
        <f t="shared" si="179"/>
        <v>0</v>
      </c>
      <c r="BI87" s="16">
        <f t="shared" si="180"/>
        <v>0</v>
      </c>
      <c r="BJ87" s="16">
        <f t="shared" si="181"/>
        <v>0</v>
      </c>
      <c r="BK87" s="16">
        <f t="shared" si="182"/>
        <v>0</v>
      </c>
      <c r="BL87" s="16">
        <f t="shared" si="183"/>
        <v>0</v>
      </c>
      <c r="BM87" s="16">
        <f t="shared" si="184"/>
        <v>0</v>
      </c>
      <c r="BN87" s="16">
        <f t="shared" si="185"/>
        <v>0</v>
      </c>
      <c r="BO87" s="16">
        <f t="shared" si="186"/>
        <v>0</v>
      </c>
      <c r="BP87" s="16">
        <f t="shared" si="187"/>
        <v>0</v>
      </c>
      <c r="BQ87" s="16">
        <f t="shared" si="188"/>
        <v>0</v>
      </c>
      <c r="BR87" s="16">
        <f t="shared" si="189"/>
        <v>0</v>
      </c>
      <c r="BS87" s="16">
        <f t="shared" si="190"/>
        <v>0</v>
      </c>
      <c r="BT87" s="16">
        <f t="shared" si="191"/>
        <v>0</v>
      </c>
    </row>
    <row r="88" spans="2:72" x14ac:dyDescent="0.2">
      <c r="B88" s="16">
        <f>N('Registru mijloace fixe'!$I88)</f>
        <v>0</v>
      </c>
      <c r="C88" s="27">
        <f>N('Registru mijloace fixe'!$J88)</f>
        <v>0</v>
      </c>
      <c r="D88" s="16" t="str">
        <f>'Registru mijloace fixe'!$K88&amp;""</f>
        <v/>
      </c>
      <c r="E88" s="16">
        <f t="shared" si="128"/>
        <v>1.5</v>
      </c>
      <c r="F88" s="16">
        <f t="shared" si="129"/>
        <v>0.5</v>
      </c>
      <c r="G88" s="16">
        <f t="shared" si="130"/>
        <v>0</v>
      </c>
      <c r="H88" s="16">
        <f t="shared" si="131"/>
        <v>0</v>
      </c>
      <c r="I88" s="16">
        <f t="shared" si="132"/>
        <v>0</v>
      </c>
      <c r="J88" s="16">
        <f t="shared" si="133"/>
        <v>0</v>
      </c>
      <c r="K88" s="16">
        <f t="shared" si="134"/>
        <v>0</v>
      </c>
      <c r="L88" s="16">
        <f t="shared" si="135"/>
        <v>0</v>
      </c>
      <c r="M88" s="16">
        <f t="shared" si="136"/>
        <v>0</v>
      </c>
      <c r="N88" s="16">
        <f t="shared" si="137"/>
        <v>0</v>
      </c>
      <c r="O88" s="16">
        <f t="shared" si="138"/>
        <v>0</v>
      </c>
      <c r="P88" s="16">
        <f t="shared" si="139"/>
        <v>0</v>
      </c>
      <c r="Q88" s="16">
        <f t="shared" si="140"/>
        <v>0</v>
      </c>
      <c r="R88" s="16">
        <f t="shared" si="141"/>
        <v>0</v>
      </c>
      <c r="S88" s="16">
        <f t="shared" si="142"/>
        <v>0</v>
      </c>
      <c r="T88" s="16">
        <f t="shared" si="143"/>
        <v>0</v>
      </c>
      <c r="U88" s="16">
        <f t="shared" si="144"/>
        <v>0</v>
      </c>
      <c r="V88" s="16">
        <f t="shared" si="145"/>
        <v>0</v>
      </c>
      <c r="W88" s="16">
        <f t="shared" si="146"/>
        <v>0</v>
      </c>
      <c r="X88" s="16">
        <f t="shared" si="147"/>
        <v>0</v>
      </c>
      <c r="Y88" s="16">
        <f t="shared" si="148"/>
        <v>0</v>
      </c>
      <c r="Z88" s="16">
        <f t="shared" si="149"/>
        <v>0</v>
      </c>
      <c r="AA88" s="16">
        <f t="shared" si="150"/>
        <v>0</v>
      </c>
      <c r="AB88" s="16">
        <f t="shared" si="151"/>
        <v>0</v>
      </c>
      <c r="AC88" s="16">
        <f t="shared" si="152"/>
        <v>0</v>
      </c>
      <c r="AD88" s="16">
        <f t="shared" si="153"/>
        <v>0</v>
      </c>
      <c r="AE88" s="16">
        <f t="shared" si="154"/>
        <v>0</v>
      </c>
      <c r="AF88" s="16">
        <f t="shared" si="155"/>
        <v>0</v>
      </c>
      <c r="AG88" s="16">
        <f t="shared" si="156"/>
        <v>0</v>
      </c>
      <c r="AH88" s="16">
        <f t="shared" si="157"/>
        <v>0</v>
      </c>
      <c r="AI88" s="16">
        <f t="shared" si="158"/>
        <v>0</v>
      </c>
      <c r="AJ88" s="16">
        <f t="shared" si="159"/>
        <v>0</v>
      </c>
      <c r="AK88" s="16"/>
      <c r="AL88" s="16"/>
      <c r="AM88" s="16">
        <f>IF(NOT(ISNUMBER('Registru mijloace fixe'!$R88)),0,MAX(0,MIN(((YEAR(LunaRef)-YEAR('Registru mijloace fixe'!$R88))*12+MONTH(LunaRef)-MONTH('Registru mijloace fixe'!$R88)+1)-1,IF(ISNUMBER('Registru mijloace fixe'!$N88),((YEAR('Registru mijloace fixe'!$N88)-YEAR('Registru mijloace fixe'!$R88))*12+MONTH('Registru mijloace fixe'!$N88)-MONTH('Registru mijloace fixe'!$R88)+1),9999),C88*12)))</f>
        <v>0</v>
      </c>
      <c r="AN88" s="27">
        <f>IF(NOT(ISNUMBER('Registru mijloace fixe'!$R88)),0,MAX(0,MIN(((YEAR(LunaRef)-YEAR('Registru mijloace fixe'!$R88))*12+MONTH(LunaRef)-MONTH('Registru mijloace fixe'!$R88)+1),IF(ISNUMBER('Registru mijloace fixe'!$N88),((YEAR('Registru mijloace fixe'!$N88)-YEAR('Registru mijloace fixe'!$R88))*12+MONTH('Registru mijloace fixe'!$N88)-MONTH('Registru mijloace fixe'!$R88)+1),9999),C88*12)))</f>
        <v>0</v>
      </c>
      <c r="AO88" s="16">
        <f t="shared" si="160"/>
        <v>0</v>
      </c>
      <c r="AP88" s="16">
        <f t="shared" si="161"/>
        <v>0</v>
      </c>
      <c r="AQ88" s="16">
        <f t="shared" si="162"/>
        <v>0</v>
      </c>
      <c r="AR88" s="16">
        <f t="shared" si="163"/>
        <v>0</v>
      </c>
      <c r="AS88" s="16">
        <f t="shared" si="164"/>
        <v>0</v>
      </c>
      <c r="AT88" s="16">
        <f t="shared" si="165"/>
        <v>0</v>
      </c>
      <c r="AU88" s="16">
        <f t="shared" si="166"/>
        <v>0</v>
      </c>
      <c r="AV88" s="16">
        <f t="shared" si="167"/>
        <v>0</v>
      </c>
      <c r="AW88" s="16">
        <f t="shared" si="168"/>
        <v>0</v>
      </c>
      <c r="AX88" s="16">
        <f t="shared" si="169"/>
        <v>0</v>
      </c>
      <c r="AY88" s="16">
        <f t="shared" si="170"/>
        <v>0</v>
      </c>
      <c r="AZ88" s="16">
        <f t="shared" si="171"/>
        <v>0</v>
      </c>
      <c r="BA88" s="16">
        <f t="shared" si="172"/>
        <v>0</v>
      </c>
      <c r="BB88" s="16">
        <f t="shared" si="173"/>
        <v>0</v>
      </c>
      <c r="BC88" s="16">
        <f t="shared" si="174"/>
        <v>0</v>
      </c>
      <c r="BD88" s="16">
        <f t="shared" si="175"/>
        <v>0</v>
      </c>
      <c r="BE88" s="16">
        <f t="shared" si="176"/>
        <v>0</v>
      </c>
      <c r="BF88" s="16">
        <f t="shared" si="177"/>
        <v>0</v>
      </c>
      <c r="BG88" s="16">
        <f t="shared" si="178"/>
        <v>0</v>
      </c>
      <c r="BH88" s="16">
        <f t="shared" si="179"/>
        <v>0</v>
      </c>
      <c r="BI88" s="16">
        <f t="shared" si="180"/>
        <v>0</v>
      </c>
      <c r="BJ88" s="16">
        <f t="shared" si="181"/>
        <v>0</v>
      </c>
      <c r="BK88" s="16">
        <f t="shared" si="182"/>
        <v>0</v>
      </c>
      <c r="BL88" s="16">
        <f t="shared" si="183"/>
        <v>0</v>
      </c>
      <c r="BM88" s="16">
        <f t="shared" si="184"/>
        <v>0</v>
      </c>
      <c r="BN88" s="16">
        <f t="shared" si="185"/>
        <v>0</v>
      </c>
      <c r="BO88" s="16">
        <f t="shared" si="186"/>
        <v>0</v>
      </c>
      <c r="BP88" s="16">
        <f t="shared" si="187"/>
        <v>0</v>
      </c>
      <c r="BQ88" s="16">
        <f t="shared" si="188"/>
        <v>0</v>
      </c>
      <c r="BR88" s="16">
        <f t="shared" si="189"/>
        <v>0</v>
      </c>
      <c r="BS88" s="16">
        <f t="shared" si="190"/>
        <v>0</v>
      </c>
      <c r="BT88" s="16">
        <f t="shared" si="191"/>
        <v>0</v>
      </c>
    </row>
    <row r="89" spans="2:72" x14ac:dyDescent="0.2">
      <c r="B89" s="16">
        <f>N('Registru mijloace fixe'!$I89)</f>
        <v>0</v>
      </c>
      <c r="C89" s="27">
        <f>N('Registru mijloace fixe'!$J89)</f>
        <v>0</v>
      </c>
      <c r="D89" s="16" t="str">
        <f>'Registru mijloace fixe'!$K89&amp;""</f>
        <v/>
      </c>
      <c r="E89" s="16">
        <f t="shared" si="128"/>
        <v>1.5</v>
      </c>
      <c r="F89" s="16">
        <f t="shared" si="129"/>
        <v>0.5</v>
      </c>
      <c r="G89" s="16">
        <f t="shared" si="130"/>
        <v>0</v>
      </c>
      <c r="H89" s="16">
        <f t="shared" si="131"/>
        <v>0</v>
      </c>
      <c r="I89" s="16">
        <f t="shared" si="132"/>
        <v>0</v>
      </c>
      <c r="J89" s="16">
        <f t="shared" si="133"/>
        <v>0</v>
      </c>
      <c r="K89" s="16">
        <f t="shared" si="134"/>
        <v>0</v>
      </c>
      <c r="L89" s="16">
        <f t="shared" si="135"/>
        <v>0</v>
      </c>
      <c r="M89" s="16">
        <f t="shared" si="136"/>
        <v>0</v>
      </c>
      <c r="N89" s="16">
        <f t="shared" si="137"/>
        <v>0</v>
      </c>
      <c r="O89" s="16">
        <f t="shared" si="138"/>
        <v>0</v>
      </c>
      <c r="P89" s="16">
        <f t="shared" si="139"/>
        <v>0</v>
      </c>
      <c r="Q89" s="16">
        <f t="shared" si="140"/>
        <v>0</v>
      </c>
      <c r="R89" s="16">
        <f t="shared" si="141"/>
        <v>0</v>
      </c>
      <c r="S89" s="16">
        <f t="shared" si="142"/>
        <v>0</v>
      </c>
      <c r="T89" s="16">
        <f t="shared" si="143"/>
        <v>0</v>
      </c>
      <c r="U89" s="16">
        <f t="shared" si="144"/>
        <v>0</v>
      </c>
      <c r="V89" s="16">
        <f t="shared" si="145"/>
        <v>0</v>
      </c>
      <c r="W89" s="16">
        <f t="shared" si="146"/>
        <v>0</v>
      </c>
      <c r="X89" s="16">
        <f t="shared" si="147"/>
        <v>0</v>
      </c>
      <c r="Y89" s="16">
        <f t="shared" si="148"/>
        <v>0</v>
      </c>
      <c r="Z89" s="16">
        <f t="shared" si="149"/>
        <v>0</v>
      </c>
      <c r="AA89" s="16">
        <f t="shared" si="150"/>
        <v>0</v>
      </c>
      <c r="AB89" s="16">
        <f t="shared" si="151"/>
        <v>0</v>
      </c>
      <c r="AC89" s="16">
        <f t="shared" si="152"/>
        <v>0</v>
      </c>
      <c r="AD89" s="16">
        <f t="shared" si="153"/>
        <v>0</v>
      </c>
      <c r="AE89" s="16">
        <f t="shared" si="154"/>
        <v>0</v>
      </c>
      <c r="AF89" s="16">
        <f t="shared" si="155"/>
        <v>0</v>
      </c>
      <c r="AG89" s="16">
        <f t="shared" si="156"/>
        <v>0</v>
      </c>
      <c r="AH89" s="16">
        <f t="shared" si="157"/>
        <v>0</v>
      </c>
      <c r="AI89" s="16">
        <f t="shared" si="158"/>
        <v>0</v>
      </c>
      <c r="AJ89" s="16">
        <f t="shared" si="159"/>
        <v>0</v>
      </c>
      <c r="AK89" s="16"/>
      <c r="AL89" s="16"/>
      <c r="AM89" s="16">
        <f>IF(NOT(ISNUMBER('Registru mijloace fixe'!$R89)),0,MAX(0,MIN(((YEAR(LunaRef)-YEAR('Registru mijloace fixe'!$R89))*12+MONTH(LunaRef)-MONTH('Registru mijloace fixe'!$R89)+1)-1,IF(ISNUMBER('Registru mijloace fixe'!$N89),((YEAR('Registru mijloace fixe'!$N89)-YEAR('Registru mijloace fixe'!$R89))*12+MONTH('Registru mijloace fixe'!$N89)-MONTH('Registru mijloace fixe'!$R89)+1),9999),C89*12)))</f>
        <v>0</v>
      </c>
      <c r="AN89" s="27">
        <f>IF(NOT(ISNUMBER('Registru mijloace fixe'!$R89)),0,MAX(0,MIN(((YEAR(LunaRef)-YEAR('Registru mijloace fixe'!$R89))*12+MONTH(LunaRef)-MONTH('Registru mijloace fixe'!$R89)+1),IF(ISNUMBER('Registru mijloace fixe'!$N89),((YEAR('Registru mijloace fixe'!$N89)-YEAR('Registru mijloace fixe'!$R89))*12+MONTH('Registru mijloace fixe'!$N89)-MONTH('Registru mijloace fixe'!$R89)+1),9999),C89*12)))</f>
        <v>0</v>
      </c>
      <c r="AO89" s="16">
        <f t="shared" si="160"/>
        <v>0</v>
      </c>
      <c r="AP89" s="16">
        <f t="shared" si="161"/>
        <v>0</v>
      </c>
      <c r="AQ89" s="16">
        <f t="shared" si="162"/>
        <v>0</v>
      </c>
      <c r="AR89" s="16">
        <f t="shared" si="163"/>
        <v>0</v>
      </c>
      <c r="AS89" s="16">
        <f t="shared" si="164"/>
        <v>0</v>
      </c>
      <c r="AT89" s="16">
        <f t="shared" si="165"/>
        <v>0</v>
      </c>
      <c r="AU89" s="16">
        <f t="shared" si="166"/>
        <v>0</v>
      </c>
      <c r="AV89" s="16">
        <f t="shared" si="167"/>
        <v>0</v>
      </c>
      <c r="AW89" s="16">
        <f t="shared" si="168"/>
        <v>0</v>
      </c>
      <c r="AX89" s="16">
        <f t="shared" si="169"/>
        <v>0</v>
      </c>
      <c r="AY89" s="16">
        <f t="shared" si="170"/>
        <v>0</v>
      </c>
      <c r="AZ89" s="16">
        <f t="shared" si="171"/>
        <v>0</v>
      </c>
      <c r="BA89" s="16">
        <f t="shared" si="172"/>
        <v>0</v>
      </c>
      <c r="BB89" s="16">
        <f t="shared" si="173"/>
        <v>0</v>
      </c>
      <c r="BC89" s="16">
        <f t="shared" si="174"/>
        <v>0</v>
      </c>
      <c r="BD89" s="16">
        <f t="shared" si="175"/>
        <v>0</v>
      </c>
      <c r="BE89" s="16">
        <f t="shared" si="176"/>
        <v>0</v>
      </c>
      <c r="BF89" s="16">
        <f t="shared" si="177"/>
        <v>0</v>
      </c>
      <c r="BG89" s="16">
        <f t="shared" si="178"/>
        <v>0</v>
      </c>
      <c r="BH89" s="16">
        <f t="shared" si="179"/>
        <v>0</v>
      </c>
      <c r="BI89" s="16">
        <f t="shared" si="180"/>
        <v>0</v>
      </c>
      <c r="BJ89" s="16">
        <f t="shared" si="181"/>
        <v>0</v>
      </c>
      <c r="BK89" s="16">
        <f t="shared" si="182"/>
        <v>0</v>
      </c>
      <c r="BL89" s="16">
        <f t="shared" si="183"/>
        <v>0</v>
      </c>
      <c r="BM89" s="16">
        <f t="shared" si="184"/>
        <v>0</v>
      </c>
      <c r="BN89" s="16">
        <f t="shared" si="185"/>
        <v>0</v>
      </c>
      <c r="BO89" s="16">
        <f t="shared" si="186"/>
        <v>0</v>
      </c>
      <c r="BP89" s="16">
        <f t="shared" si="187"/>
        <v>0</v>
      </c>
      <c r="BQ89" s="16">
        <f t="shared" si="188"/>
        <v>0</v>
      </c>
      <c r="BR89" s="16">
        <f t="shared" si="189"/>
        <v>0</v>
      </c>
      <c r="BS89" s="16">
        <f t="shared" si="190"/>
        <v>0</v>
      </c>
      <c r="BT89" s="16">
        <f t="shared" si="191"/>
        <v>0</v>
      </c>
    </row>
    <row r="90" spans="2:72" x14ac:dyDescent="0.2">
      <c r="B90" s="16">
        <f>N('Registru mijloace fixe'!$I90)</f>
        <v>0</v>
      </c>
      <c r="C90" s="27">
        <f>N('Registru mijloace fixe'!$J90)</f>
        <v>0</v>
      </c>
      <c r="D90" s="16" t="str">
        <f>'Registru mijloace fixe'!$K90&amp;""</f>
        <v/>
      </c>
      <c r="E90" s="16">
        <f t="shared" si="128"/>
        <v>1.5</v>
      </c>
      <c r="F90" s="16">
        <f t="shared" si="129"/>
        <v>0.5</v>
      </c>
      <c r="G90" s="16">
        <f t="shared" si="130"/>
        <v>0</v>
      </c>
      <c r="H90" s="16">
        <f t="shared" si="131"/>
        <v>0</v>
      </c>
      <c r="I90" s="16">
        <f t="shared" si="132"/>
        <v>0</v>
      </c>
      <c r="J90" s="16">
        <f t="shared" si="133"/>
        <v>0</v>
      </c>
      <c r="K90" s="16">
        <f t="shared" si="134"/>
        <v>0</v>
      </c>
      <c r="L90" s="16">
        <f t="shared" si="135"/>
        <v>0</v>
      </c>
      <c r="M90" s="16">
        <f t="shared" si="136"/>
        <v>0</v>
      </c>
      <c r="N90" s="16">
        <f t="shared" si="137"/>
        <v>0</v>
      </c>
      <c r="O90" s="16">
        <f t="shared" si="138"/>
        <v>0</v>
      </c>
      <c r="P90" s="16">
        <f t="shared" si="139"/>
        <v>0</v>
      </c>
      <c r="Q90" s="16">
        <f t="shared" si="140"/>
        <v>0</v>
      </c>
      <c r="R90" s="16">
        <f t="shared" si="141"/>
        <v>0</v>
      </c>
      <c r="S90" s="16">
        <f t="shared" si="142"/>
        <v>0</v>
      </c>
      <c r="T90" s="16">
        <f t="shared" si="143"/>
        <v>0</v>
      </c>
      <c r="U90" s="16">
        <f t="shared" si="144"/>
        <v>0</v>
      </c>
      <c r="V90" s="16">
        <f t="shared" si="145"/>
        <v>0</v>
      </c>
      <c r="W90" s="16">
        <f t="shared" si="146"/>
        <v>0</v>
      </c>
      <c r="X90" s="16">
        <f t="shared" si="147"/>
        <v>0</v>
      </c>
      <c r="Y90" s="16">
        <f t="shared" si="148"/>
        <v>0</v>
      </c>
      <c r="Z90" s="16">
        <f t="shared" si="149"/>
        <v>0</v>
      </c>
      <c r="AA90" s="16">
        <f t="shared" si="150"/>
        <v>0</v>
      </c>
      <c r="AB90" s="16">
        <f t="shared" si="151"/>
        <v>0</v>
      </c>
      <c r="AC90" s="16">
        <f t="shared" si="152"/>
        <v>0</v>
      </c>
      <c r="AD90" s="16">
        <f t="shared" si="153"/>
        <v>0</v>
      </c>
      <c r="AE90" s="16">
        <f t="shared" si="154"/>
        <v>0</v>
      </c>
      <c r="AF90" s="16">
        <f t="shared" si="155"/>
        <v>0</v>
      </c>
      <c r="AG90" s="16">
        <f t="shared" si="156"/>
        <v>0</v>
      </c>
      <c r="AH90" s="16">
        <f t="shared" si="157"/>
        <v>0</v>
      </c>
      <c r="AI90" s="16">
        <f t="shared" si="158"/>
        <v>0</v>
      </c>
      <c r="AJ90" s="16">
        <f t="shared" si="159"/>
        <v>0</v>
      </c>
      <c r="AK90" s="16"/>
      <c r="AL90" s="16"/>
      <c r="AM90" s="16">
        <f>IF(NOT(ISNUMBER('Registru mijloace fixe'!$R90)),0,MAX(0,MIN(((YEAR(LunaRef)-YEAR('Registru mijloace fixe'!$R90))*12+MONTH(LunaRef)-MONTH('Registru mijloace fixe'!$R90)+1)-1,IF(ISNUMBER('Registru mijloace fixe'!$N90),((YEAR('Registru mijloace fixe'!$N90)-YEAR('Registru mijloace fixe'!$R90))*12+MONTH('Registru mijloace fixe'!$N90)-MONTH('Registru mijloace fixe'!$R90)+1),9999),C90*12)))</f>
        <v>0</v>
      </c>
      <c r="AN90" s="27">
        <f>IF(NOT(ISNUMBER('Registru mijloace fixe'!$R90)),0,MAX(0,MIN(((YEAR(LunaRef)-YEAR('Registru mijloace fixe'!$R90))*12+MONTH(LunaRef)-MONTH('Registru mijloace fixe'!$R90)+1),IF(ISNUMBER('Registru mijloace fixe'!$N90),((YEAR('Registru mijloace fixe'!$N90)-YEAR('Registru mijloace fixe'!$R90))*12+MONTH('Registru mijloace fixe'!$N90)-MONTH('Registru mijloace fixe'!$R90)+1),9999),C90*12)))</f>
        <v>0</v>
      </c>
      <c r="AO90" s="16">
        <f t="shared" si="160"/>
        <v>0</v>
      </c>
      <c r="AP90" s="16">
        <f t="shared" si="161"/>
        <v>0</v>
      </c>
      <c r="AQ90" s="16">
        <f t="shared" si="162"/>
        <v>0</v>
      </c>
      <c r="AR90" s="16">
        <f t="shared" si="163"/>
        <v>0</v>
      </c>
      <c r="AS90" s="16">
        <f t="shared" si="164"/>
        <v>0</v>
      </c>
      <c r="AT90" s="16">
        <f t="shared" si="165"/>
        <v>0</v>
      </c>
      <c r="AU90" s="16">
        <f t="shared" si="166"/>
        <v>0</v>
      </c>
      <c r="AV90" s="16">
        <f t="shared" si="167"/>
        <v>0</v>
      </c>
      <c r="AW90" s="16">
        <f t="shared" si="168"/>
        <v>0</v>
      </c>
      <c r="AX90" s="16">
        <f t="shared" si="169"/>
        <v>0</v>
      </c>
      <c r="AY90" s="16">
        <f t="shared" si="170"/>
        <v>0</v>
      </c>
      <c r="AZ90" s="16">
        <f t="shared" si="171"/>
        <v>0</v>
      </c>
      <c r="BA90" s="16">
        <f t="shared" si="172"/>
        <v>0</v>
      </c>
      <c r="BB90" s="16">
        <f t="shared" si="173"/>
        <v>0</v>
      </c>
      <c r="BC90" s="16">
        <f t="shared" si="174"/>
        <v>0</v>
      </c>
      <c r="BD90" s="16">
        <f t="shared" si="175"/>
        <v>0</v>
      </c>
      <c r="BE90" s="16">
        <f t="shared" si="176"/>
        <v>0</v>
      </c>
      <c r="BF90" s="16">
        <f t="shared" si="177"/>
        <v>0</v>
      </c>
      <c r="BG90" s="16">
        <f t="shared" si="178"/>
        <v>0</v>
      </c>
      <c r="BH90" s="16">
        <f t="shared" si="179"/>
        <v>0</v>
      </c>
      <c r="BI90" s="16">
        <f t="shared" si="180"/>
        <v>0</v>
      </c>
      <c r="BJ90" s="16">
        <f t="shared" si="181"/>
        <v>0</v>
      </c>
      <c r="BK90" s="16">
        <f t="shared" si="182"/>
        <v>0</v>
      </c>
      <c r="BL90" s="16">
        <f t="shared" si="183"/>
        <v>0</v>
      </c>
      <c r="BM90" s="16">
        <f t="shared" si="184"/>
        <v>0</v>
      </c>
      <c r="BN90" s="16">
        <f t="shared" si="185"/>
        <v>0</v>
      </c>
      <c r="BO90" s="16">
        <f t="shared" si="186"/>
        <v>0</v>
      </c>
      <c r="BP90" s="16">
        <f t="shared" si="187"/>
        <v>0</v>
      </c>
      <c r="BQ90" s="16">
        <f t="shared" si="188"/>
        <v>0</v>
      </c>
      <c r="BR90" s="16">
        <f t="shared" si="189"/>
        <v>0</v>
      </c>
      <c r="BS90" s="16">
        <f t="shared" si="190"/>
        <v>0</v>
      </c>
      <c r="BT90" s="16">
        <f t="shared" si="191"/>
        <v>0</v>
      </c>
    </row>
    <row r="91" spans="2:72" x14ac:dyDescent="0.2">
      <c r="B91" s="16">
        <f>N('Registru mijloace fixe'!$I91)</f>
        <v>0</v>
      </c>
      <c r="C91" s="27">
        <f>N('Registru mijloace fixe'!$J91)</f>
        <v>0</v>
      </c>
      <c r="D91" s="16" t="str">
        <f>'Registru mijloace fixe'!$K91&amp;""</f>
        <v/>
      </c>
      <c r="E91" s="16">
        <f t="shared" si="128"/>
        <v>1.5</v>
      </c>
      <c r="F91" s="16">
        <f t="shared" si="129"/>
        <v>0.5</v>
      </c>
      <c r="G91" s="16">
        <f t="shared" si="130"/>
        <v>0</v>
      </c>
      <c r="H91" s="16">
        <f t="shared" si="131"/>
        <v>0</v>
      </c>
      <c r="I91" s="16">
        <f t="shared" si="132"/>
        <v>0</v>
      </c>
      <c r="J91" s="16">
        <f t="shared" si="133"/>
        <v>0</v>
      </c>
      <c r="K91" s="16">
        <f t="shared" si="134"/>
        <v>0</v>
      </c>
      <c r="L91" s="16">
        <f t="shared" si="135"/>
        <v>0</v>
      </c>
      <c r="M91" s="16">
        <f t="shared" si="136"/>
        <v>0</v>
      </c>
      <c r="N91" s="16">
        <f t="shared" si="137"/>
        <v>0</v>
      </c>
      <c r="O91" s="16">
        <f t="shared" si="138"/>
        <v>0</v>
      </c>
      <c r="P91" s="16">
        <f t="shared" si="139"/>
        <v>0</v>
      </c>
      <c r="Q91" s="16">
        <f t="shared" si="140"/>
        <v>0</v>
      </c>
      <c r="R91" s="16">
        <f t="shared" si="141"/>
        <v>0</v>
      </c>
      <c r="S91" s="16">
        <f t="shared" si="142"/>
        <v>0</v>
      </c>
      <c r="T91" s="16">
        <f t="shared" si="143"/>
        <v>0</v>
      </c>
      <c r="U91" s="16">
        <f t="shared" si="144"/>
        <v>0</v>
      </c>
      <c r="V91" s="16">
        <f t="shared" si="145"/>
        <v>0</v>
      </c>
      <c r="W91" s="16">
        <f t="shared" si="146"/>
        <v>0</v>
      </c>
      <c r="X91" s="16">
        <f t="shared" si="147"/>
        <v>0</v>
      </c>
      <c r="Y91" s="16">
        <f t="shared" si="148"/>
        <v>0</v>
      </c>
      <c r="Z91" s="16">
        <f t="shared" si="149"/>
        <v>0</v>
      </c>
      <c r="AA91" s="16">
        <f t="shared" si="150"/>
        <v>0</v>
      </c>
      <c r="AB91" s="16">
        <f t="shared" si="151"/>
        <v>0</v>
      </c>
      <c r="AC91" s="16">
        <f t="shared" si="152"/>
        <v>0</v>
      </c>
      <c r="AD91" s="16">
        <f t="shared" si="153"/>
        <v>0</v>
      </c>
      <c r="AE91" s="16">
        <f t="shared" si="154"/>
        <v>0</v>
      </c>
      <c r="AF91" s="16">
        <f t="shared" si="155"/>
        <v>0</v>
      </c>
      <c r="AG91" s="16">
        <f t="shared" si="156"/>
        <v>0</v>
      </c>
      <c r="AH91" s="16">
        <f t="shared" si="157"/>
        <v>0</v>
      </c>
      <c r="AI91" s="16">
        <f t="shared" si="158"/>
        <v>0</v>
      </c>
      <c r="AJ91" s="16">
        <f t="shared" si="159"/>
        <v>0</v>
      </c>
      <c r="AK91" s="16"/>
      <c r="AL91" s="16"/>
      <c r="AM91" s="16">
        <f>IF(NOT(ISNUMBER('Registru mijloace fixe'!$R91)),0,MAX(0,MIN(((YEAR(LunaRef)-YEAR('Registru mijloace fixe'!$R91))*12+MONTH(LunaRef)-MONTH('Registru mijloace fixe'!$R91)+1)-1,IF(ISNUMBER('Registru mijloace fixe'!$N91),((YEAR('Registru mijloace fixe'!$N91)-YEAR('Registru mijloace fixe'!$R91))*12+MONTH('Registru mijloace fixe'!$N91)-MONTH('Registru mijloace fixe'!$R91)+1),9999),C91*12)))</f>
        <v>0</v>
      </c>
      <c r="AN91" s="27">
        <f>IF(NOT(ISNUMBER('Registru mijloace fixe'!$R91)),0,MAX(0,MIN(((YEAR(LunaRef)-YEAR('Registru mijloace fixe'!$R91))*12+MONTH(LunaRef)-MONTH('Registru mijloace fixe'!$R91)+1),IF(ISNUMBER('Registru mijloace fixe'!$N91),((YEAR('Registru mijloace fixe'!$N91)-YEAR('Registru mijloace fixe'!$R91))*12+MONTH('Registru mijloace fixe'!$N91)-MONTH('Registru mijloace fixe'!$R91)+1),9999),C91*12)))</f>
        <v>0</v>
      </c>
      <c r="AO91" s="16">
        <f t="shared" si="160"/>
        <v>0</v>
      </c>
      <c r="AP91" s="16">
        <f t="shared" si="161"/>
        <v>0</v>
      </c>
      <c r="AQ91" s="16">
        <f t="shared" si="162"/>
        <v>0</v>
      </c>
      <c r="AR91" s="16">
        <f t="shared" si="163"/>
        <v>0</v>
      </c>
      <c r="AS91" s="16">
        <f t="shared" si="164"/>
        <v>0</v>
      </c>
      <c r="AT91" s="16">
        <f t="shared" si="165"/>
        <v>0</v>
      </c>
      <c r="AU91" s="16">
        <f t="shared" si="166"/>
        <v>0</v>
      </c>
      <c r="AV91" s="16">
        <f t="shared" si="167"/>
        <v>0</v>
      </c>
      <c r="AW91" s="16">
        <f t="shared" si="168"/>
        <v>0</v>
      </c>
      <c r="AX91" s="16">
        <f t="shared" si="169"/>
        <v>0</v>
      </c>
      <c r="AY91" s="16">
        <f t="shared" si="170"/>
        <v>0</v>
      </c>
      <c r="AZ91" s="16">
        <f t="shared" si="171"/>
        <v>0</v>
      </c>
      <c r="BA91" s="16">
        <f t="shared" si="172"/>
        <v>0</v>
      </c>
      <c r="BB91" s="16">
        <f t="shared" si="173"/>
        <v>0</v>
      </c>
      <c r="BC91" s="16">
        <f t="shared" si="174"/>
        <v>0</v>
      </c>
      <c r="BD91" s="16">
        <f t="shared" si="175"/>
        <v>0</v>
      </c>
      <c r="BE91" s="16">
        <f t="shared" si="176"/>
        <v>0</v>
      </c>
      <c r="BF91" s="16">
        <f t="shared" si="177"/>
        <v>0</v>
      </c>
      <c r="BG91" s="16">
        <f t="shared" si="178"/>
        <v>0</v>
      </c>
      <c r="BH91" s="16">
        <f t="shared" si="179"/>
        <v>0</v>
      </c>
      <c r="BI91" s="16">
        <f t="shared" si="180"/>
        <v>0</v>
      </c>
      <c r="BJ91" s="16">
        <f t="shared" si="181"/>
        <v>0</v>
      </c>
      <c r="BK91" s="16">
        <f t="shared" si="182"/>
        <v>0</v>
      </c>
      <c r="BL91" s="16">
        <f t="shared" si="183"/>
        <v>0</v>
      </c>
      <c r="BM91" s="16">
        <f t="shared" si="184"/>
        <v>0</v>
      </c>
      <c r="BN91" s="16">
        <f t="shared" si="185"/>
        <v>0</v>
      </c>
      <c r="BO91" s="16">
        <f t="shared" si="186"/>
        <v>0</v>
      </c>
      <c r="BP91" s="16">
        <f t="shared" si="187"/>
        <v>0</v>
      </c>
      <c r="BQ91" s="16">
        <f t="shared" si="188"/>
        <v>0</v>
      </c>
      <c r="BR91" s="16">
        <f t="shared" si="189"/>
        <v>0</v>
      </c>
      <c r="BS91" s="16">
        <f t="shared" si="190"/>
        <v>0</v>
      </c>
      <c r="BT91" s="16">
        <f t="shared" si="191"/>
        <v>0</v>
      </c>
    </row>
    <row r="92" spans="2:72" x14ac:dyDescent="0.2">
      <c r="B92" s="16">
        <f>N('Registru mijloace fixe'!$I92)</f>
        <v>0</v>
      </c>
      <c r="C92" s="27">
        <f>N('Registru mijloace fixe'!$J92)</f>
        <v>0</v>
      </c>
      <c r="D92" s="16" t="str">
        <f>'Registru mijloace fixe'!$K92&amp;""</f>
        <v/>
      </c>
      <c r="E92" s="16">
        <f t="shared" si="128"/>
        <v>1.5</v>
      </c>
      <c r="F92" s="16">
        <f t="shared" si="129"/>
        <v>0.5</v>
      </c>
      <c r="G92" s="16">
        <f t="shared" si="130"/>
        <v>0</v>
      </c>
      <c r="H92" s="16">
        <f t="shared" si="131"/>
        <v>0</v>
      </c>
      <c r="I92" s="16">
        <f t="shared" si="132"/>
        <v>0</v>
      </c>
      <c r="J92" s="16">
        <f t="shared" si="133"/>
        <v>0</v>
      </c>
      <c r="K92" s="16">
        <f t="shared" si="134"/>
        <v>0</v>
      </c>
      <c r="L92" s="16">
        <f t="shared" si="135"/>
        <v>0</v>
      </c>
      <c r="M92" s="16">
        <f t="shared" si="136"/>
        <v>0</v>
      </c>
      <c r="N92" s="16">
        <f t="shared" si="137"/>
        <v>0</v>
      </c>
      <c r="O92" s="16">
        <f t="shared" si="138"/>
        <v>0</v>
      </c>
      <c r="P92" s="16">
        <f t="shared" si="139"/>
        <v>0</v>
      </c>
      <c r="Q92" s="16">
        <f t="shared" si="140"/>
        <v>0</v>
      </c>
      <c r="R92" s="16">
        <f t="shared" si="141"/>
        <v>0</v>
      </c>
      <c r="S92" s="16">
        <f t="shared" si="142"/>
        <v>0</v>
      </c>
      <c r="T92" s="16">
        <f t="shared" si="143"/>
        <v>0</v>
      </c>
      <c r="U92" s="16">
        <f t="shared" si="144"/>
        <v>0</v>
      </c>
      <c r="V92" s="16">
        <f t="shared" si="145"/>
        <v>0</v>
      </c>
      <c r="W92" s="16">
        <f t="shared" si="146"/>
        <v>0</v>
      </c>
      <c r="X92" s="16">
        <f t="shared" si="147"/>
        <v>0</v>
      </c>
      <c r="Y92" s="16">
        <f t="shared" si="148"/>
        <v>0</v>
      </c>
      <c r="Z92" s="16">
        <f t="shared" si="149"/>
        <v>0</v>
      </c>
      <c r="AA92" s="16">
        <f t="shared" si="150"/>
        <v>0</v>
      </c>
      <c r="AB92" s="16">
        <f t="shared" si="151"/>
        <v>0</v>
      </c>
      <c r="AC92" s="16">
        <f t="shared" si="152"/>
        <v>0</v>
      </c>
      <c r="AD92" s="16">
        <f t="shared" si="153"/>
        <v>0</v>
      </c>
      <c r="AE92" s="16">
        <f t="shared" si="154"/>
        <v>0</v>
      </c>
      <c r="AF92" s="16">
        <f t="shared" si="155"/>
        <v>0</v>
      </c>
      <c r="AG92" s="16">
        <f t="shared" si="156"/>
        <v>0</v>
      </c>
      <c r="AH92" s="16">
        <f t="shared" si="157"/>
        <v>0</v>
      </c>
      <c r="AI92" s="16">
        <f t="shared" si="158"/>
        <v>0</v>
      </c>
      <c r="AJ92" s="16">
        <f t="shared" si="159"/>
        <v>0</v>
      </c>
      <c r="AK92" s="16"/>
      <c r="AL92" s="16"/>
      <c r="AM92" s="16">
        <f>IF(NOT(ISNUMBER('Registru mijloace fixe'!$R92)),0,MAX(0,MIN(((YEAR(LunaRef)-YEAR('Registru mijloace fixe'!$R92))*12+MONTH(LunaRef)-MONTH('Registru mijloace fixe'!$R92)+1)-1,IF(ISNUMBER('Registru mijloace fixe'!$N92),((YEAR('Registru mijloace fixe'!$N92)-YEAR('Registru mijloace fixe'!$R92))*12+MONTH('Registru mijloace fixe'!$N92)-MONTH('Registru mijloace fixe'!$R92)+1),9999),C92*12)))</f>
        <v>0</v>
      </c>
      <c r="AN92" s="27">
        <f>IF(NOT(ISNUMBER('Registru mijloace fixe'!$R92)),0,MAX(0,MIN(((YEAR(LunaRef)-YEAR('Registru mijloace fixe'!$R92))*12+MONTH(LunaRef)-MONTH('Registru mijloace fixe'!$R92)+1),IF(ISNUMBER('Registru mijloace fixe'!$N92),((YEAR('Registru mijloace fixe'!$N92)-YEAR('Registru mijloace fixe'!$R92))*12+MONTH('Registru mijloace fixe'!$N92)-MONTH('Registru mijloace fixe'!$R92)+1),9999),C92*12)))</f>
        <v>0</v>
      </c>
      <c r="AO92" s="16">
        <f t="shared" si="160"/>
        <v>0</v>
      </c>
      <c r="AP92" s="16">
        <f t="shared" si="161"/>
        <v>0</v>
      </c>
      <c r="AQ92" s="16">
        <f t="shared" si="162"/>
        <v>0</v>
      </c>
      <c r="AR92" s="16">
        <f t="shared" si="163"/>
        <v>0</v>
      </c>
      <c r="AS92" s="16">
        <f t="shared" si="164"/>
        <v>0</v>
      </c>
      <c r="AT92" s="16">
        <f t="shared" si="165"/>
        <v>0</v>
      </c>
      <c r="AU92" s="16">
        <f t="shared" si="166"/>
        <v>0</v>
      </c>
      <c r="AV92" s="16">
        <f t="shared" si="167"/>
        <v>0</v>
      </c>
      <c r="AW92" s="16">
        <f t="shared" si="168"/>
        <v>0</v>
      </c>
      <c r="AX92" s="16">
        <f t="shared" si="169"/>
        <v>0</v>
      </c>
      <c r="AY92" s="16">
        <f t="shared" si="170"/>
        <v>0</v>
      </c>
      <c r="AZ92" s="16">
        <f t="shared" si="171"/>
        <v>0</v>
      </c>
      <c r="BA92" s="16">
        <f t="shared" si="172"/>
        <v>0</v>
      </c>
      <c r="BB92" s="16">
        <f t="shared" si="173"/>
        <v>0</v>
      </c>
      <c r="BC92" s="16">
        <f t="shared" si="174"/>
        <v>0</v>
      </c>
      <c r="BD92" s="16">
        <f t="shared" si="175"/>
        <v>0</v>
      </c>
      <c r="BE92" s="16">
        <f t="shared" si="176"/>
        <v>0</v>
      </c>
      <c r="BF92" s="16">
        <f t="shared" si="177"/>
        <v>0</v>
      </c>
      <c r="BG92" s="16">
        <f t="shared" si="178"/>
        <v>0</v>
      </c>
      <c r="BH92" s="16">
        <f t="shared" si="179"/>
        <v>0</v>
      </c>
      <c r="BI92" s="16">
        <f t="shared" si="180"/>
        <v>0</v>
      </c>
      <c r="BJ92" s="16">
        <f t="shared" si="181"/>
        <v>0</v>
      </c>
      <c r="BK92" s="16">
        <f t="shared" si="182"/>
        <v>0</v>
      </c>
      <c r="BL92" s="16">
        <f t="shared" si="183"/>
        <v>0</v>
      </c>
      <c r="BM92" s="16">
        <f t="shared" si="184"/>
        <v>0</v>
      </c>
      <c r="BN92" s="16">
        <f t="shared" si="185"/>
        <v>0</v>
      </c>
      <c r="BO92" s="16">
        <f t="shared" si="186"/>
        <v>0</v>
      </c>
      <c r="BP92" s="16">
        <f t="shared" si="187"/>
        <v>0</v>
      </c>
      <c r="BQ92" s="16">
        <f t="shared" si="188"/>
        <v>0</v>
      </c>
      <c r="BR92" s="16">
        <f t="shared" si="189"/>
        <v>0</v>
      </c>
      <c r="BS92" s="16">
        <f t="shared" si="190"/>
        <v>0</v>
      </c>
      <c r="BT92" s="16">
        <f t="shared" si="191"/>
        <v>0</v>
      </c>
    </row>
    <row r="93" spans="2:72" x14ac:dyDescent="0.2">
      <c r="B93" s="16">
        <f>N('Registru mijloace fixe'!$I93)</f>
        <v>0</v>
      </c>
      <c r="C93" s="27">
        <f>N('Registru mijloace fixe'!$J93)</f>
        <v>0</v>
      </c>
      <c r="D93" s="16" t="str">
        <f>'Registru mijloace fixe'!$K93&amp;""</f>
        <v/>
      </c>
      <c r="E93" s="16">
        <f t="shared" si="128"/>
        <v>1.5</v>
      </c>
      <c r="F93" s="16">
        <f t="shared" si="129"/>
        <v>0.5</v>
      </c>
      <c r="G93" s="16">
        <f t="shared" si="130"/>
        <v>0</v>
      </c>
      <c r="H93" s="16">
        <f t="shared" si="131"/>
        <v>0</v>
      </c>
      <c r="I93" s="16">
        <f t="shared" si="132"/>
        <v>0</v>
      </c>
      <c r="J93" s="16">
        <f t="shared" si="133"/>
        <v>0</v>
      </c>
      <c r="K93" s="16">
        <f t="shared" si="134"/>
        <v>0</v>
      </c>
      <c r="L93" s="16">
        <f t="shared" si="135"/>
        <v>0</v>
      </c>
      <c r="M93" s="16">
        <f t="shared" si="136"/>
        <v>0</v>
      </c>
      <c r="N93" s="16">
        <f t="shared" si="137"/>
        <v>0</v>
      </c>
      <c r="O93" s="16">
        <f t="shared" si="138"/>
        <v>0</v>
      </c>
      <c r="P93" s="16">
        <f t="shared" si="139"/>
        <v>0</v>
      </c>
      <c r="Q93" s="16">
        <f t="shared" si="140"/>
        <v>0</v>
      </c>
      <c r="R93" s="16">
        <f t="shared" si="141"/>
        <v>0</v>
      </c>
      <c r="S93" s="16">
        <f t="shared" si="142"/>
        <v>0</v>
      </c>
      <c r="T93" s="16">
        <f t="shared" si="143"/>
        <v>0</v>
      </c>
      <c r="U93" s="16">
        <f t="shared" si="144"/>
        <v>0</v>
      </c>
      <c r="V93" s="16">
        <f t="shared" si="145"/>
        <v>0</v>
      </c>
      <c r="W93" s="16">
        <f t="shared" si="146"/>
        <v>0</v>
      </c>
      <c r="X93" s="16">
        <f t="shared" si="147"/>
        <v>0</v>
      </c>
      <c r="Y93" s="16">
        <f t="shared" si="148"/>
        <v>0</v>
      </c>
      <c r="Z93" s="16">
        <f t="shared" si="149"/>
        <v>0</v>
      </c>
      <c r="AA93" s="16">
        <f t="shared" si="150"/>
        <v>0</v>
      </c>
      <c r="AB93" s="16">
        <f t="shared" si="151"/>
        <v>0</v>
      </c>
      <c r="AC93" s="16">
        <f t="shared" si="152"/>
        <v>0</v>
      </c>
      <c r="AD93" s="16">
        <f t="shared" si="153"/>
        <v>0</v>
      </c>
      <c r="AE93" s="16">
        <f t="shared" si="154"/>
        <v>0</v>
      </c>
      <c r="AF93" s="16">
        <f t="shared" si="155"/>
        <v>0</v>
      </c>
      <c r="AG93" s="16">
        <f t="shared" si="156"/>
        <v>0</v>
      </c>
      <c r="AH93" s="16">
        <f t="shared" si="157"/>
        <v>0</v>
      </c>
      <c r="AI93" s="16">
        <f t="shared" si="158"/>
        <v>0</v>
      </c>
      <c r="AJ93" s="16">
        <f t="shared" si="159"/>
        <v>0</v>
      </c>
      <c r="AK93" s="16"/>
      <c r="AL93" s="16"/>
      <c r="AM93" s="16">
        <f>IF(NOT(ISNUMBER('Registru mijloace fixe'!$R93)),0,MAX(0,MIN(((YEAR(LunaRef)-YEAR('Registru mijloace fixe'!$R93))*12+MONTH(LunaRef)-MONTH('Registru mijloace fixe'!$R93)+1)-1,IF(ISNUMBER('Registru mijloace fixe'!$N93),((YEAR('Registru mijloace fixe'!$N93)-YEAR('Registru mijloace fixe'!$R93))*12+MONTH('Registru mijloace fixe'!$N93)-MONTH('Registru mijloace fixe'!$R93)+1),9999),C93*12)))</f>
        <v>0</v>
      </c>
      <c r="AN93" s="27">
        <f>IF(NOT(ISNUMBER('Registru mijloace fixe'!$R93)),0,MAX(0,MIN(((YEAR(LunaRef)-YEAR('Registru mijloace fixe'!$R93))*12+MONTH(LunaRef)-MONTH('Registru mijloace fixe'!$R93)+1),IF(ISNUMBER('Registru mijloace fixe'!$N93),((YEAR('Registru mijloace fixe'!$N93)-YEAR('Registru mijloace fixe'!$R93))*12+MONTH('Registru mijloace fixe'!$N93)-MONTH('Registru mijloace fixe'!$R93)+1),9999),C93*12)))</f>
        <v>0</v>
      </c>
      <c r="AO93" s="16">
        <f t="shared" si="160"/>
        <v>0</v>
      </c>
      <c r="AP93" s="16">
        <f t="shared" si="161"/>
        <v>0</v>
      </c>
      <c r="AQ93" s="16">
        <f t="shared" si="162"/>
        <v>0</v>
      </c>
      <c r="AR93" s="16">
        <f t="shared" si="163"/>
        <v>0</v>
      </c>
      <c r="AS93" s="16">
        <f t="shared" si="164"/>
        <v>0</v>
      </c>
      <c r="AT93" s="16">
        <f t="shared" si="165"/>
        <v>0</v>
      </c>
      <c r="AU93" s="16">
        <f t="shared" si="166"/>
        <v>0</v>
      </c>
      <c r="AV93" s="16">
        <f t="shared" si="167"/>
        <v>0</v>
      </c>
      <c r="AW93" s="16">
        <f t="shared" si="168"/>
        <v>0</v>
      </c>
      <c r="AX93" s="16">
        <f t="shared" si="169"/>
        <v>0</v>
      </c>
      <c r="AY93" s="16">
        <f t="shared" si="170"/>
        <v>0</v>
      </c>
      <c r="AZ93" s="16">
        <f t="shared" si="171"/>
        <v>0</v>
      </c>
      <c r="BA93" s="16">
        <f t="shared" si="172"/>
        <v>0</v>
      </c>
      <c r="BB93" s="16">
        <f t="shared" si="173"/>
        <v>0</v>
      </c>
      <c r="BC93" s="16">
        <f t="shared" si="174"/>
        <v>0</v>
      </c>
      <c r="BD93" s="16">
        <f t="shared" si="175"/>
        <v>0</v>
      </c>
      <c r="BE93" s="16">
        <f t="shared" si="176"/>
        <v>0</v>
      </c>
      <c r="BF93" s="16">
        <f t="shared" si="177"/>
        <v>0</v>
      </c>
      <c r="BG93" s="16">
        <f t="shared" si="178"/>
        <v>0</v>
      </c>
      <c r="BH93" s="16">
        <f t="shared" si="179"/>
        <v>0</v>
      </c>
      <c r="BI93" s="16">
        <f t="shared" si="180"/>
        <v>0</v>
      </c>
      <c r="BJ93" s="16">
        <f t="shared" si="181"/>
        <v>0</v>
      </c>
      <c r="BK93" s="16">
        <f t="shared" si="182"/>
        <v>0</v>
      </c>
      <c r="BL93" s="16">
        <f t="shared" si="183"/>
        <v>0</v>
      </c>
      <c r="BM93" s="16">
        <f t="shared" si="184"/>
        <v>0</v>
      </c>
      <c r="BN93" s="16">
        <f t="shared" si="185"/>
        <v>0</v>
      </c>
      <c r="BO93" s="16">
        <f t="shared" si="186"/>
        <v>0</v>
      </c>
      <c r="BP93" s="16">
        <f t="shared" si="187"/>
        <v>0</v>
      </c>
      <c r="BQ93" s="16">
        <f t="shared" si="188"/>
        <v>0</v>
      </c>
      <c r="BR93" s="16">
        <f t="shared" si="189"/>
        <v>0</v>
      </c>
      <c r="BS93" s="16">
        <f t="shared" si="190"/>
        <v>0</v>
      </c>
      <c r="BT93" s="16">
        <f t="shared" si="191"/>
        <v>0</v>
      </c>
    </row>
    <row r="94" spans="2:72" x14ac:dyDescent="0.2">
      <c r="B94" s="16">
        <f>N('Registru mijloace fixe'!$I94)</f>
        <v>0</v>
      </c>
      <c r="C94" s="27">
        <f>N('Registru mijloace fixe'!$J94)</f>
        <v>0</v>
      </c>
      <c r="D94" s="16" t="str">
        <f>'Registru mijloace fixe'!$K94&amp;""</f>
        <v/>
      </c>
      <c r="E94" s="16">
        <f t="shared" si="128"/>
        <v>1.5</v>
      </c>
      <c r="F94" s="16">
        <f t="shared" si="129"/>
        <v>0.5</v>
      </c>
      <c r="G94" s="16">
        <f t="shared" si="130"/>
        <v>0</v>
      </c>
      <c r="H94" s="16">
        <f t="shared" si="131"/>
        <v>0</v>
      </c>
      <c r="I94" s="16">
        <f t="shared" si="132"/>
        <v>0</v>
      </c>
      <c r="J94" s="16">
        <f t="shared" si="133"/>
        <v>0</v>
      </c>
      <c r="K94" s="16">
        <f t="shared" si="134"/>
        <v>0</v>
      </c>
      <c r="L94" s="16">
        <f t="shared" si="135"/>
        <v>0</v>
      </c>
      <c r="M94" s="16">
        <f t="shared" si="136"/>
        <v>0</v>
      </c>
      <c r="N94" s="16">
        <f t="shared" si="137"/>
        <v>0</v>
      </c>
      <c r="O94" s="16">
        <f t="shared" si="138"/>
        <v>0</v>
      </c>
      <c r="P94" s="16">
        <f t="shared" si="139"/>
        <v>0</v>
      </c>
      <c r="Q94" s="16">
        <f t="shared" si="140"/>
        <v>0</v>
      </c>
      <c r="R94" s="16">
        <f t="shared" si="141"/>
        <v>0</v>
      </c>
      <c r="S94" s="16">
        <f t="shared" si="142"/>
        <v>0</v>
      </c>
      <c r="T94" s="16">
        <f t="shared" si="143"/>
        <v>0</v>
      </c>
      <c r="U94" s="16">
        <f t="shared" si="144"/>
        <v>0</v>
      </c>
      <c r="V94" s="16">
        <f t="shared" si="145"/>
        <v>0</v>
      </c>
      <c r="W94" s="16">
        <f t="shared" si="146"/>
        <v>0</v>
      </c>
      <c r="X94" s="16">
        <f t="shared" si="147"/>
        <v>0</v>
      </c>
      <c r="Y94" s="16">
        <f t="shared" si="148"/>
        <v>0</v>
      </c>
      <c r="Z94" s="16">
        <f t="shared" si="149"/>
        <v>0</v>
      </c>
      <c r="AA94" s="16">
        <f t="shared" si="150"/>
        <v>0</v>
      </c>
      <c r="AB94" s="16">
        <f t="shared" si="151"/>
        <v>0</v>
      </c>
      <c r="AC94" s="16">
        <f t="shared" si="152"/>
        <v>0</v>
      </c>
      <c r="AD94" s="16">
        <f t="shared" si="153"/>
        <v>0</v>
      </c>
      <c r="AE94" s="16">
        <f t="shared" si="154"/>
        <v>0</v>
      </c>
      <c r="AF94" s="16">
        <f t="shared" si="155"/>
        <v>0</v>
      </c>
      <c r="AG94" s="16">
        <f t="shared" si="156"/>
        <v>0</v>
      </c>
      <c r="AH94" s="16">
        <f t="shared" si="157"/>
        <v>0</v>
      </c>
      <c r="AI94" s="16">
        <f t="shared" si="158"/>
        <v>0</v>
      </c>
      <c r="AJ94" s="16">
        <f t="shared" si="159"/>
        <v>0</v>
      </c>
      <c r="AK94" s="16"/>
      <c r="AL94" s="16"/>
      <c r="AM94" s="16">
        <f>IF(NOT(ISNUMBER('Registru mijloace fixe'!$R94)),0,MAX(0,MIN(((YEAR(LunaRef)-YEAR('Registru mijloace fixe'!$R94))*12+MONTH(LunaRef)-MONTH('Registru mijloace fixe'!$R94)+1)-1,IF(ISNUMBER('Registru mijloace fixe'!$N94),((YEAR('Registru mijloace fixe'!$N94)-YEAR('Registru mijloace fixe'!$R94))*12+MONTH('Registru mijloace fixe'!$N94)-MONTH('Registru mijloace fixe'!$R94)+1),9999),C94*12)))</f>
        <v>0</v>
      </c>
      <c r="AN94" s="27">
        <f>IF(NOT(ISNUMBER('Registru mijloace fixe'!$R94)),0,MAX(0,MIN(((YEAR(LunaRef)-YEAR('Registru mijloace fixe'!$R94))*12+MONTH(LunaRef)-MONTH('Registru mijloace fixe'!$R94)+1),IF(ISNUMBER('Registru mijloace fixe'!$N94),((YEAR('Registru mijloace fixe'!$N94)-YEAR('Registru mijloace fixe'!$R94))*12+MONTH('Registru mijloace fixe'!$N94)-MONTH('Registru mijloace fixe'!$R94)+1),9999),C94*12)))</f>
        <v>0</v>
      </c>
      <c r="AO94" s="16">
        <f t="shared" si="160"/>
        <v>0</v>
      </c>
      <c r="AP94" s="16">
        <f t="shared" si="161"/>
        <v>0</v>
      </c>
      <c r="AQ94" s="16">
        <f t="shared" si="162"/>
        <v>0</v>
      </c>
      <c r="AR94" s="16">
        <f t="shared" si="163"/>
        <v>0</v>
      </c>
      <c r="AS94" s="16">
        <f t="shared" si="164"/>
        <v>0</v>
      </c>
      <c r="AT94" s="16">
        <f t="shared" si="165"/>
        <v>0</v>
      </c>
      <c r="AU94" s="16">
        <f t="shared" si="166"/>
        <v>0</v>
      </c>
      <c r="AV94" s="16">
        <f t="shared" si="167"/>
        <v>0</v>
      </c>
      <c r="AW94" s="16">
        <f t="shared" si="168"/>
        <v>0</v>
      </c>
      <c r="AX94" s="16">
        <f t="shared" si="169"/>
        <v>0</v>
      </c>
      <c r="AY94" s="16">
        <f t="shared" si="170"/>
        <v>0</v>
      </c>
      <c r="AZ94" s="16">
        <f t="shared" si="171"/>
        <v>0</v>
      </c>
      <c r="BA94" s="16">
        <f t="shared" si="172"/>
        <v>0</v>
      </c>
      <c r="BB94" s="16">
        <f t="shared" si="173"/>
        <v>0</v>
      </c>
      <c r="BC94" s="16">
        <f t="shared" si="174"/>
        <v>0</v>
      </c>
      <c r="BD94" s="16">
        <f t="shared" si="175"/>
        <v>0</v>
      </c>
      <c r="BE94" s="16">
        <f t="shared" si="176"/>
        <v>0</v>
      </c>
      <c r="BF94" s="16">
        <f t="shared" si="177"/>
        <v>0</v>
      </c>
      <c r="BG94" s="16">
        <f t="shared" si="178"/>
        <v>0</v>
      </c>
      <c r="BH94" s="16">
        <f t="shared" si="179"/>
        <v>0</v>
      </c>
      <c r="BI94" s="16">
        <f t="shared" si="180"/>
        <v>0</v>
      </c>
      <c r="BJ94" s="16">
        <f t="shared" si="181"/>
        <v>0</v>
      </c>
      <c r="BK94" s="16">
        <f t="shared" si="182"/>
        <v>0</v>
      </c>
      <c r="BL94" s="16">
        <f t="shared" si="183"/>
        <v>0</v>
      </c>
      <c r="BM94" s="16">
        <f t="shared" si="184"/>
        <v>0</v>
      </c>
      <c r="BN94" s="16">
        <f t="shared" si="185"/>
        <v>0</v>
      </c>
      <c r="BO94" s="16">
        <f t="shared" si="186"/>
        <v>0</v>
      </c>
      <c r="BP94" s="16">
        <f t="shared" si="187"/>
        <v>0</v>
      </c>
      <c r="BQ94" s="16">
        <f t="shared" si="188"/>
        <v>0</v>
      </c>
      <c r="BR94" s="16">
        <f t="shared" si="189"/>
        <v>0</v>
      </c>
      <c r="BS94" s="16">
        <f t="shared" si="190"/>
        <v>0</v>
      </c>
      <c r="BT94" s="16">
        <f t="shared" si="191"/>
        <v>0</v>
      </c>
    </row>
    <row r="95" spans="2:72" x14ac:dyDescent="0.2">
      <c r="B95" s="16">
        <f>N('Registru mijloace fixe'!$I95)</f>
        <v>0</v>
      </c>
      <c r="C95" s="27">
        <f>N('Registru mijloace fixe'!$J95)</f>
        <v>0</v>
      </c>
      <c r="D95" s="16" t="str">
        <f>'Registru mijloace fixe'!$K95&amp;""</f>
        <v/>
      </c>
      <c r="E95" s="16">
        <f t="shared" si="128"/>
        <v>1.5</v>
      </c>
      <c r="F95" s="16">
        <f t="shared" si="129"/>
        <v>0.5</v>
      </c>
      <c r="G95" s="16">
        <f t="shared" si="130"/>
        <v>0</v>
      </c>
      <c r="H95" s="16">
        <f t="shared" si="131"/>
        <v>0</v>
      </c>
      <c r="I95" s="16">
        <f t="shared" si="132"/>
        <v>0</v>
      </c>
      <c r="J95" s="16">
        <f t="shared" si="133"/>
        <v>0</v>
      </c>
      <c r="K95" s="16">
        <f t="shared" si="134"/>
        <v>0</v>
      </c>
      <c r="L95" s="16">
        <f t="shared" si="135"/>
        <v>0</v>
      </c>
      <c r="M95" s="16">
        <f t="shared" si="136"/>
        <v>0</v>
      </c>
      <c r="N95" s="16">
        <f t="shared" si="137"/>
        <v>0</v>
      </c>
      <c r="O95" s="16">
        <f t="shared" si="138"/>
        <v>0</v>
      </c>
      <c r="P95" s="16">
        <f t="shared" si="139"/>
        <v>0</v>
      </c>
      <c r="Q95" s="16">
        <f t="shared" si="140"/>
        <v>0</v>
      </c>
      <c r="R95" s="16">
        <f t="shared" si="141"/>
        <v>0</v>
      </c>
      <c r="S95" s="16">
        <f t="shared" si="142"/>
        <v>0</v>
      </c>
      <c r="T95" s="16">
        <f t="shared" si="143"/>
        <v>0</v>
      </c>
      <c r="U95" s="16">
        <f t="shared" si="144"/>
        <v>0</v>
      </c>
      <c r="V95" s="16">
        <f t="shared" si="145"/>
        <v>0</v>
      </c>
      <c r="W95" s="16">
        <f t="shared" si="146"/>
        <v>0</v>
      </c>
      <c r="X95" s="16">
        <f t="shared" si="147"/>
        <v>0</v>
      </c>
      <c r="Y95" s="16">
        <f t="shared" si="148"/>
        <v>0</v>
      </c>
      <c r="Z95" s="16">
        <f t="shared" si="149"/>
        <v>0</v>
      </c>
      <c r="AA95" s="16">
        <f t="shared" si="150"/>
        <v>0</v>
      </c>
      <c r="AB95" s="16">
        <f t="shared" si="151"/>
        <v>0</v>
      </c>
      <c r="AC95" s="16">
        <f t="shared" si="152"/>
        <v>0</v>
      </c>
      <c r="AD95" s="16">
        <f t="shared" si="153"/>
        <v>0</v>
      </c>
      <c r="AE95" s="16">
        <f t="shared" si="154"/>
        <v>0</v>
      </c>
      <c r="AF95" s="16">
        <f t="shared" si="155"/>
        <v>0</v>
      </c>
      <c r="AG95" s="16">
        <f t="shared" si="156"/>
        <v>0</v>
      </c>
      <c r="AH95" s="16">
        <f t="shared" si="157"/>
        <v>0</v>
      </c>
      <c r="AI95" s="16">
        <f t="shared" si="158"/>
        <v>0</v>
      </c>
      <c r="AJ95" s="16">
        <f t="shared" si="159"/>
        <v>0</v>
      </c>
      <c r="AK95" s="16"/>
      <c r="AL95" s="16"/>
      <c r="AM95" s="16">
        <f>IF(NOT(ISNUMBER('Registru mijloace fixe'!$R95)),0,MAX(0,MIN(((YEAR(LunaRef)-YEAR('Registru mijloace fixe'!$R95))*12+MONTH(LunaRef)-MONTH('Registru mijloace fixe'!$R95)+1)-1,IF(ISNUMBER('Registru mijloace fixe'!$N95),((YEAR('Registru mijloace fixe'!$N95)-YEAR('Registru mijloace fixe'!$R95))*12+MONTH('Registru mijloace fixe'!$N95)-MONTH('Registru mijloace fixe'!$R95)+1),9999),C95*12)))</f>
        <v>0</v>
      </c>
      <c r="AN95" s="27">
        <f>IF(NOT(ISNUMBER('Registru mijloace fixe'!$R95)),0,MAX(0,MIN(((YEAR(LunaRef)-YEAR('Registru mijloace fixe'!$R95))*12+MONTH(LunaRef)-MONTH('Registru mijloace fixe'!$R95)+1),IF(ISNUMBER('Registru mijloace fixe'!$N95),((YEAR('Registru mijloace fixe'!$N95)-YEAR('Registru mijloace fixe'!$R95))*12+MONTH('Registru mijloace fixe'!$N95)-MONTH('Registru mijloace fixe'!$R95)+1),9999),C95*12)))</f>
        <v>0</v>
      </c>
      <c r="AO95" s="16">
        <f t="shared" si="160"/>
        <v>0</v>
      </c>
      <c r="AP95" s="16">
        <f t="shared" si="161"/>
        <v>0</v>
      </c>
      <c r="AQ95" s="16">
        <f t="shared" si="162"/>
        <v>0</v>
      </c>
      <c r="AR95" s="16">
        <f t="shared" si="163"/>
        <v>0</v>
      </c>
      <c r="AS95" s="16">
        <f t="shared" si="164"/>
        <v>0</v>
      </c>
      <c r="AT95" s="16">
        <f t="shared" si="165"/>
        <v>0</v>
      </c>
      <c r="AU95" s="16">
        <f t="shared" si="166"/>
        <v>0</v>
      </c>
      <c r="AV95" s="16">
        <f t="shared" si="167"/>
        <v>0</v>
      </c>
      <c r="AW95" s="16">
        <f t="shared" si="168"/>
        <v>0</v>
      </c>
      <c r="AX95" s="16">
        <f t="shared" si="169"/>
        <v>0</v>
      </c>
      <c r="AY95" s="16">
        <f t="shared" si="170"/>
        <v>0</v>
      </c>
      <c r="AZ95" s="16">
        <f t="shared" si="171"/>
        <v>0</v>
      </c>
      <c r="BA95" s="16">
        <f t="shared" si="172"/>
        <v>0</v>
      </c>
      <c r="BB95" s="16">
        <f t="shared" si="173"/>
        <v>0</v>
      </c>
      <c r="BC95" s="16">
        <f t="shared" si="174"/>
        <v>0</v>
      </c>
      <c r="BD95" s="16">
        <f t="shared" si="175"/>
        <v>0</v>
      </c>
      <c r="BE95" s="16">
        <f t="shared" si="176"/>
        <v>0</v>
      </c>
      <c r="BF95" s="16">
        <f t="shared" si="177"/>
        <v>0</v>
      </c>
      <c r="BG95" s="16">
        <f t="shared" si="178"/>
        <v>0</v>
      </c>
      <c r="BH95" s="16">
        <f t="shared" si="179"/>
        <v>0</v>
      </c>
      <c r="BI95" s="16">
        <f t="shared" si="180"/>
        <v>0</v>
      </c>
      <c r="BJ95" s="16">
        <f t="shared" si="181"/>
        <v>0</v>
      </c>
      <c r="BK95" s="16">
        <f t="shared" si="182"/>
        <v>0</v>
      </c>
      <c r="BL95" s="16">
        <f t="shared" si="183"/>
        <v>0</v>
      </c>
      <c r="BM95" s="16">
        <f t="shared" si="184"/>
        <v>0</v>
      </c>
      <c r="BN95" s="16">
        <f t="shared" si="185"/>
        <v>0</v>
      </c>
      <c r="BO95" s="16">
        <f t="shared" si="186"/>
        <v>0</v>
      </c>
      <c r="BP95" s="16">
        <f t="shared" si="187"/>
        <v>0</v>
      </c>
      <c r="BQ95" s="16">
        <f t="shared" si="188"/>
        <v>0</v>
      </c>
      <c r="BR95" s="16">
        <f t="shared" si="189"/>
        <v>0</v>
      </c>
      <c r="BS95" s="16">
        <f t="shared" si="190"/>
        <v>0</v>
      </c>
      <c r="BT95" s="16">
        <f t="shared" si="191"/>
        <v>0</v>
      </c>
    </row>
    <row r="96" spans="2:72" x14ac:dyDescent="0.2">
      <c r="B96" s="16">
        <f>N('Registru mijloace fixe'!$I96)</f>
        <v>0</v>
      </c>
      <c r="C96" s="27">
        <f>N('Registru mijloace fixe'!$J96)</f>
        <v>0</v>
      </c>
      <c r="D96" s="16" t="str">
        <f>'Registru mijloace fixe'!$K96&amp;""</f>
        <v/>
      </c>
      <c r="E96" s="16">
        <f t="shared" si="128"/>
        <v>1.5</v>
      </c>
      <c r="F96" s="16">
        <f t="shared" si="129"/>
        <v>0.5</v>
      </c>
      <c r="G96" s="16">
        <f t="shared" si="130"/>
        <v>0</v>
      </c>
      <c r="H96" s="16">
        <f t="shared" si="131"/>
        <v>0</v>
      </c>
      <c r="I96" s="16">
        <f t="shared" si="132"/>
        <v>0</v>
      </c>
      <c r="J96" s="16">
        <f t="shared" si="133"/>
        <v>0</v>
      </c>
      <c r="K96" s="16">
        <f t="shared" si="134"/>
        <v>0</v>
      </c>
      <c r="L96" s="16">
        <f t="shared" si="135"/>
        <v>0</v>
      </c>
      <c r="M96" s="16">
        <f t="shared" si="136"/>
        <v>0</v>
      </c>
      <c r="N96" s="16">
        <f t="shared" si="137"/>
        <v>0</v>
      </c>
      <c r="O96" s="16">
        <f t="shared" si="138"/>
        <v>0</v>
      </c>
      <c r="P96" s="16">
        <f t="shared" si="139"/>
        <v>0</v>
      </c>
      <c r="Q96" s="16">
        <f t="shared" si="140"/>
        <v>0</v>
      </c>
      <c r="R96" s="16">
        <f t="shared" si="141"/>
        <v>0</v>
      </c>
      <c r="S96" s="16">
        <f t="shared" si="142"/>
        <v>0</v>
      </c>
      <c r="T96" s="16">
        <f t="shared" si="143"/>
        <v>0</v>
      </c>
      <c r="U96" s="16">
        <f t="shared" si="144"/>
        <v>0</v>
      </c>
      <c r="V96" s="16">
        <f t="shared" si="145"/>
        <v>0</v>
      </c>
      <c r="W96" s="16">
        <f t="shared" si="146"/>
        <v>0</v>
      </c>
      <c r="X96" s="16">
        <f t="shared" si="147"/>
        <v>0</v>
      </c>
      <c r="Y96" s="16">
        <f t="shared" si="148"/>
        <v>0</v>
      </c>
      <c r="Z96" s="16">
        <f t="shared" si="149"/>
        <v>0</v>
      </c>
      <c r="AA96" s="16">
        <f t="shared" si="150"/>
        <v>0</v>
      </c>
      <c r="AB96" s="16">
        <f t="shared" si="151"/>
        <v>0</v>
      </c>
      <c r="AC96" s="16">
        <f t="shared" si="152"/>
        <v>0</v>
      </c>
      <c r="AD96" s="16">
        <f t="shared" si="153"/>
        <v>0</v>
      </c>
      <c r="AE96" s="16">
        <f t="shared" si="154"/>
        <v>0</v>
      </c>
      <c r="AF96" s="16">
        <f t="shared" si="155"/>
        <v>0</v>
      </c>
      <c r="AG96" s="16">
        <f t="shared" si="156"/>
        <v>0</v>
      </c>
      <c r="AH96" s="16">
        <f t="shared" si="157"/>
        <v>0</v>
      </c>
      <c r="AI96" s="16">
        <f t="shared" si="158"/>
        <v>0</v>
      </c>
      <c r="AJ96" s="16">
        <f t="shared" si="159"/>
        <v>0</v>
      </c>
      <c r="AK96" s="16"/>
      <c r="AL96" s="16"/>
      <c r="AM96" s="16">
        <f>IF(NOT(ISNUMBER('Registru mijloace fixe'!$R96)),0,MAX(0,MIN(((YEAR(LunaRef)-YEAR('Registru mijloace fixe'!$R96))*12+MONTH(LunaRef)-MONTH('Registru mijloace fixe'!$R96)+1)-1,IF(ISNUMBER('Registru mijloace fixe'!$N96),((YEAR('Registru mijloace fixe'!$N96)-YEAR('Registru mijloace fixe'!$R96))*12+MONTH('Registru mijloace fixe'!$N96)-MONTH('Registru mijloace fixe'!$R96)+1),9999),C96*12)))</f>
        <v>0</v>
      </c>
      <c r="AN96" s="27">
        <f>IF(NOT(ISNUMBER('Registru mijloace fixe'!$R96)),0,MAX(0,MIN(((YEAR(LunaRef)-YEAR('Registru mijloace fixe'!$R96))*12+MONTH(LunaRef)-MONTH('Registru mijloace fixe'!$R96)+1),IF(ISNUMBER('Registru mijloace fixe'!$N96),((YEAR('Registru mijloace fixe'!$N96)-YEAR('Registru mijloace fixe'!$R96))*12+MONTH('Registru mijloace fixe'!$N96)-MONTH('Registru mijloace fixe'!$R96)+1),9999),C96*12)))</f>
        <v>0</v>
      </c>
      <c r="AO96" s="16">
        <f t="shared" si="160"/>
        <v>0</v>
      </c>
      <c r="AP96" s="16">
        <f t="shared" si="161"/>
        <v>0</v>
      </c>
      <c r="AQ96" s="16">
        <f t="shared" si="162"/>
        <v>0</v>
      </c>
      <c r="AR96" s="16">
        <f t="shared" si="163"/>
        <v>0</v>
      </c>
      <c r="AS96" s="16">
        <f t="shared" si="164"/>
        <v>0</v>
      </c>
      <c r="AT96" s="16">
        <f t="shared" si="165"/>
        <v>0</v>
      </c>
      <c r="AU96" s="16">
        <f t="shared" si="166"/>
        <v>0</v>
      </c>
      <c r="AV96" s="16">
        <f t="shared" si="167"/>
        <v>0</v>
      </c>
      <c r="AW96" s="16">
        <f t="shared" si="168"/>
        <v>0</v>
      </c>
      <c r="AX96" s="16">
        <f t="shared" si="169"/>
        <v>0</v>
      </c>
      <c r="AY96" s="16">
        <f t="shared" si="170"/>
        <v>0</v>
      </c>
      <c r="AZ96" s="16">
        <f t="shared" si="171"/>
        <v>0</v>
      </c>
      <c r="BA96" s="16">
        <f t="shared" si="172"/>
        <v>0</v>
      </c>
      <c r="BB96" s="16">
        <f t="shared" si="173"/>
        <v>0</v>
      </c>
      <c r="BC96" s="16">
        <f t="shared" si="174"/>
        <v>0</v>
      </c>
      <c r="BD96" s="16">
        <f t="shared" si="175"/>
        <v>0</v>
      </c>
      <c r="BE96" s="16">
        <f t="shared" si="176"/>
        <v>0</v>
      </c>
      <c r="BF96" s="16">
        <f t="shared" si="177"/>
        <v>0</v>
      </c>
      <c r="BG96" s="16">
        <f t="shared" si="178"/>
        <v>0</v>
      </c>
      <c r="BH96" s="16">
        <f t="shared" si="179"/>
        <v>0</v>
      </c>
      <c r="BI96" s="16">
        <f t="shared" si="180"/>
        <v>0</v>
      </c>
      <c r="BJ96" s="16">
        <f t="shared" si="181"/>
        <v>0</v>
      </c>
      <c r="BK96" s="16">
        <f t="shared" si="182"/>
        <v>0</v>
      </c>
      <c r="BL96" s="16">
        <f t="shared" si="183"/>
        <v>0</v>
      </c>
      <c r="BM96" s="16">
        <f t="shared" si="184"/>
        <v>0</v>
      </c>
      <c r="BN96" s="16">
        <f t="shared" si="185"/>
        <v>0</v>
      </c>
      <c r="BO96" s="16">
        <f t="shared" si="186"/>
        <v>0</v>
      </c>
      <c r="BP96" s="16">
        <f t="shared" si="187"/>
        <v>0</v>
      </c>
      <c r="BQ96" s="16">
        <f t="shared" si="188"/>
        <v>0</v>
      </c>
      <c r="BR96" s="16">
        <f t="shared" si="189"/>
        <v>0</v>
      </c>
      <c r="BS96" s="16">
        <f t="shared" si="190"/>
        <v>0</v>
      </c>
      <c r="BT96" s="16">
        <f t="shared" si="191"/>
        <v>0</v>
      </c>
    </row>
    <row r="97" spans="2:72" x14ac:dyDescent="0.2">
      <c r="B97" s="16">
        <f>N('Registru mijloace fixe'!$I97)</f>
        <v>0</v>
      </c>
      <c r="C97" s="27">
        <f>N('Registru mijloace fixe'!$J97)</f>
        <v>0</v>
      </c>
      <c r="D97" s="16" t="str">
        <f>'Registru mijloace fixe'!$K97&amp;""</f>
        <v/>
      </c>
      <c r="E97" s="16">
        <f t="shared" si="128"/>
        <v>1.5</v>
      </c>
      <c r="F97" s="16">
        <f t="shared" si="129"/>
        <v>0.5</v>
      </c>
      <c r="G97" s="16">
        <f t="shared" si="130"/>
        <v>0</v>
      </c>
      <c r="H97" s="16">
        <f t="shared" si="131"/>
        <v>0</v>
      </c>
      <c r="I97" s="16">
        <f t="shared" si="132"/>
        <v>0</v>
      </c>
      <c r="J97" s="16">
        <f t="shared" si="133"/>
        <v>0</v>
      </c>
      <c r="K97" s="16">
        <f t="shared" si="134"/>
        <v>0</v>
      </c>
      <c r="L97" s="16">
        <f t="shared" si="135"/>
        <v>0</v>
      </c>
      <c r="M97" s="16">
        <f t="shared" si="136"/>
        <v>0</v>
      </c>
      <c r="N97" s="16">
        <f t="shared" si="137"/>
        <v>0</v>
      </c>
      <c r="O97" s="16">
        <f t="shared" si="138"/>
        <v>0</v>
      </c>
      <c r="P97" s="16">
        <f t="shared" si="139"/>
        <v>0</v>
      </c>
      <c r="Q97" s="16">
        <f t="shared" si="140"/>
        <v>0</v>
      </c>
      <c r="R97" s="16">
        <f t="shared" si="141"/>
        <v>0</v>
      </c>
      <c r="S97" s="16">
        <f t="shared" si="142"/>
        <v>0</v>
      </c>
      <c r="T97" s="16">
        <f t="shared" si="143"/>
        <v>0</v>
      </c>
      <c r="U97" s="16">
        <f t="shared" si="144"/>
        <v>0</v>
      </c>
      <c r="V97" s="16">
        <f t="shared" si="145"/>
        <v>0</v>
      </c>
      <c r="W97" s="16">
        <f t="shared" si="146"/>
        <v>0</v>
      </c>
      <c r="X97" s="16">
        <f t="shared" si="147"/>
        <v>0</v>
      </c>
      <c r="Y97" s="16">
        <f t="shared" si="148"/>
        <v>0</v>
      </c>
      <c r="Z97" s="16">
        <f t="shared" si="149"/>
        <v>0</v>
      </c>
      <c r="AA97" s="16">
        <f t="shared" si="150"/>
        <v>0</v>
      </c>
      <c r="AB97" s="16">
        <f t="shared" si="151"/>
        <v>0</v>
      </c>
      <c r="AC97" s="16">
        <f t="shared" si="152"/>
        <v>0</v>
      </c>
      <c r="AD97" s="16">
        <f t="shared" si="153"/>
        <v>0</v>
      </c>
      <c r="AE97" s="16">
        <f t="shared" si="154"/>
        <v>0</v>
      </c>
      <c r="AF97" s="16">
        <f t="shared" si="155"/>
        <v>0</v>
      </c>
      <c r="AG97" s="16">
        <f t="shared" si="156"/>
        <v>0</v>
      </c>
      <c r="AH97" s="16">
        <f t="shared" si="157"/>
        <v>0</v>
      </c>
      <c r="AI97" s="16">
        <f t="shared" si="158"/>
        <v>0</v>
      </c>
      <c r="AJ97" s="16">
        <f t="shared" si="159"/>
        <v>0</v>
      </c>
      <c r="AK97" s="16"/>
      <c r="AL97" s="16"/>
      <c r="AM97" s="16">
        <f>IF(NOT(ISNUMBER('Registru mijloace fixe'!$R97)),0,MAX(0,MIN(((YEAR(LunaRef)-YEAR('Registru mijloace fixe'!$R97))*12+MONTH(LunaRef)-MONTH('Registru mijloace fixe'!$R97)+1)-1,IF(ISNUMBER('Registru mijloace fixe'!$N97),((YEAR('Registru mijloace fixe'!$N97)-YEAR('Registru mijloace fixe'!$R97))*12+MONTH('Registru mijloace fixe'!$N97)-MONTH('Registru mijloace fixe'!$R97)+1),9999),C97*12)))</f>
        <v>0</v>
      </c>
      <c r="AN97" s="27">
        <f>IF(NOT(ISNUMBER('Registru mijloace fixe'!$R97)),0,MAX(0,MIN(((YEAR(LunaRef)-YEAR('Registru mijloace fixe'!$R97))*12+MONTH(LunaRef)-MONTH('Registru mijloace fixe'!$R97)+1),IF(ISNUMBER('Registru mijloace fixe'!$N97),((YEAR('Registru mijloace fixe'!$N97)-YEAR('Registru mijloace fixe'!$R97))*12+MONTH('Registru mijloace fixe'!$N97)-MONTH('Registru mijloace fixe'!$R97)+1),9999),C97*12)))</f>
        <v>0</v>
      </c>
      <c r="AO97" s="16">
        <f t="shared" si="160"/>
        <v>0</v>
      </c>
      <c r="AP97" s="16">
        <f t="shared" si="161"/>
        <v>0</v>
      </c>
      <c r="AQ97" s="16">
        <f t="shared" si="162"/>
        <v>0</v>
      </c>
      <c r="AR97" s="16">
        <f t="shared" si="163"/>
        <v>0</v>
      </c>
      <c r="AS97" s="16">
        <f t="shared" si="164"/>
        <v>0</v>
      </c>
      <c r="AT97" s="16">
        <f t="shared" si="165"/>
        <v>0</v>
      </c>
      <c r="AU97" s="16">
        <f t="shared" si="166"/>
        <v>0</v>
      </c>
      <c r="AV97" s="16">
        <f t="shared" si="167"/>
        <v>0</v>
      </c>
      <c r="AW97" s="16">
        <f t="shared" si="168"/>
        <v>0</v>
      </c>
      <c r="AX97" s="16">
        <f t="shared" si="169"/>
        <v>0</v>
      </c>
      <c r="AY97" s="16">
        <f t="shared" si="170"/>
        <v>0</v>
      </c>
      <c r="AZ97" s="16">
        <f t="shared" si="171"/>
        <v>0</v>
      </c>
      <c r="BA97" s="16">
        <f t="shared" si="172"/>
        <v>0</v>
      </c>
      <c r="BB97" s="16">
        <f t="shared" si="173"/>
        <v>0</v>
      </c>
      <c r="BC97" s="16">
        <f t="shared" si="174"/>
        <v>0</v>
      </c>
      <c r="BD97" s="16">
        <f t="shared" si="175"/>
        <v>0</v>
      </c>
      <c r="BE97" s="16">
        <f t="shared" si="176"/>
        <v>0</v>
      </c>
      <c r="BF97" s="16">
        <f t="shared" si="177"/>
        <v>0</v>
      </c>
      <c r="BG97" s="16">
        <f t="shared" si="178"/>
        <v>0</v>
      </c>
      <c r="BH97" s="16">
        <f t="shared" si="179"/>
        <v>0</v>
      </c>
      <c r="BI97" s="16">
        <f t="shared" si="180"/>
        <v>0</v>
      </c>
      <c r="BJ97" s="16">
        <f t="shared" si="181"/>
        <v>0</v>
      </c>
      <c r="BK97" s="16">
        <f t="shared" si="182"/>
        <v>0</v>
      </c>
      <c r="BL97" s="16">
        <f t="shared" si="183"/>
        <v>0</v>
      </c>
      <c r="BM97" s="16">
        <f t="shared" si="184"/>
        <v>0</v>
      </c>
      <c r="BN97" s="16">
        <f t="shared" si="185"/>
        <v>0</v>
      </c>
      <c r="BO97" s="16">
        <f t="shared" si="186"/>
        <v>0</v>
      </c>
      <c r="BP97" s="16">
        <f t="shared" si="187"/>
        <v>0</v>
      </c>
      <c r="BQ97" s="16">
        <f t="shared" si="188"/>
        <v>0</v>
      </c>
      <c r="BR97" s="16">
        <f t="shared" si="189"/>
        <v>0</v>
      </c>
      <c r="BS97" s="16">
        <f t="shared" si="190"/>
        <v>0</v>
      </c>
      <c r="BT97" s="16">
        <f t="shared" si="191"/>
        <v>0</v>
      </c>
    </row>
    <row r="98" spans="2:72" x14ac:dyDescent="0.2">
      <c r="B98" s="16">
        <f>N('Registru mijloace fixe'!$I98)</f>
        <v>0</v>
      </c>
      <c r="C98" s="27">
        <f>N('Registru mijloace fixe'!$J98)</f>
        <v>0</v>
      </c>
      <c r="D98" s="16" t="str">
        <f>'Registru mijloace fixe'!$K98&amp;""</f>
        <v/>
      </c>
      <c r="E98" s="16">
        <f t="shared" si="128"/>
        <v>1.5</v>
      </c>
      <c r="F98" s="16">
        <f t="shared" si="129"/>
        <v>0.5</v>
      </c>
      <c r="G98" s="16">
        <f t="shared" si="130"/>
        <v>0</v>
      </c>
      <c r="H98" s="16">
        <f t="shared" si="131"/>
        <v>0</v>
      </c>
      <c r="I98" s="16">
        <f t="shared" si="132"/>
        <v>0</v>
      </c>
      <c r="J98" s="16">
        <f t="shared" si="133"/>
        <v>0</v>
      </c>
      <c r="K98" s="16">
        <f t="shared" si="134"/>
        <v>0</v>
      </c>
      <c r="L98" s="16">
        <f t="shared" si="135"/>
        <v>0</v>
      </c>
      <c r="M98" s="16">
        <f t="shared" si="136"/>
        <v>0</v>
      </c>
      <c r="N98" s="16">
        <f t="shared" si="137"/>
        <v>0</v>
      </c>
      <c r="O98" s="16">
        <f t="shared" si="138"/>
        <v>0</v>
      </c>
      <c r="P98" s="16">
        <f t="shared" si="139"/>
        <v>0</v>
      </c>
      <c r="Q98" s="16">
        <f t="shared" si="140"/>
        <v>0</v>
      </c>
      <c r="R98" s="16">
        <f t="shared" si="141"/>
        <v>0</v>
      </c>
      <c r="S98" s="16">
        <f t="shared" si="142"/>
        <v>0</v>
      </c>
      <c r="T98" s="16">
        <f t="shared" si="143"/>
        <v>0</v>
      </c>
      <c r="U98" s="16">
        <f t="shared" si="144"/>
        <v>0</v>
      </c>
      <c r="V98" s="16">
        <f t="shared" si="145"/>
        <v>0</v>
      </c>
      <c r="W98" s="16">
        <f t="shared" si="146"/>
        <v>0</v>
      </c>
      <c r="X98" s="16">
        <f t="shared" si="147"/>
        <v>0</v>
      </c>
      <c r="Y98" s="16">
        <f t="shared" si="148"/>
        <v>0</v>
      </c>
      <c r="Z98" s="16">
        <f t="shared" si="149"/>
        <v>0</v>
      </c>
      <c r="AA98" s="16">
        <f t="shared" si="150"/>
        <v>0</v>
      </c>
      <c r="AB98" s="16">
        <f t="shared" si="151"/>
        <v>0</v>
      </c>
      <c r="AC98" s="16">
        <f t="shared" si="152"/>
        <v>0</v>
      </c>
      <c r="AD98" s="16">
        <f t="shared" si="153"/>
        <v>0</v>
      </c>
      <c r="AE98" s="16">
        <f t="shared" si="154"/>
        <v>0</v>
      </c>
      <c r="AF98" s="16">
        <f t="shared" si="155"/>
        <v>0</v>
      </c>
      <c r="AG98" s="16">
        <f t="shared" si="156"/>
        <v>0</v>
      </c>
      <c r="AH98" s="16">
        <f t="shared" si="157"/>
        <v>0</v>
      </c>
      <c r="AI98" s="16">
        <f t="shared" si="158"/>
        <v>0</v>
      </c>
      <c r="AJ98" s="16">
        <f t="shared" si="159"/>
        <v>0</v>
      </c>
      <c r="AK98" s="16"/>
      <c r="AL98" s="16"/>
      <c r="AM98" s="16">
        <f>IF(NOT(ISNUMBER('Registru mijloace fixe'!$R98)),0,MAX(0,MIN(((YEAR(LunaRef)-YEAR('Registru mijloace fixe'!$R98))*12+MONTH(LunaRef)-MONTH('Registru mijloace fixe'!$R98)+1)-1,IF(ISNUMBER('Registru mijloace fixe'!$N98),((YEAR('Registru mijloace fixe'!$N98)-YEAR('Registru mijloace fixe'!$R98))*12+MONTH('Registru mijloace fixe'!$N98)-MONTH('Registru mijloace fixe'!$R98)+1),9999),C98*12)))</f>
        <v>0</v>
      </c>
      <c r="AN98" s="27">
        <f>IF(NOT(ISNUMBER('Registru mijloace fixe'!$R98)),0,MAX(0,MIN(((YEAR(LunaRef)-YEAR('Registru mijloace fixe'!$R98))*12+MONTH(LunaRef)-MONTH('Registru mijloace fixe'!$R98)+1),IF(ISNUMBER('Registru mijloace fixe'!$N98),((YEAR('Registru mijloace fixe'!$N98)-YEAR('Registru mijloace fixe'!$R98))*12+MONTH('Registru mijloace fixe'!$N98)-MONTH('Registru mijloace fixe'!$R98)+1),9999),C98*12)))</f>
        <v>0</v>
      </c>
      <c r="AO98" s="16">
        <f t="shared" si="160"/>
        <v>0</v>
      </c>
      <c r="AP98" s="16">
        <f t="shared" si="161"/>
        <v>0</v>
      </c>
      <c r="AQ98" s="16">
        <f t="shared" si="162"/>
        <v>0</v>
      </c>
      <c r="AR98" s="16">
        <f t="shared" si="163"/>
        <v>0</v>
      </c>
      <c r="AS98" s="16">
        <f t="shared" si="164"/>
        <v>0</v>
      </c>
      <c r="AT98" s="16">
        <f t="shared" si="165"/>
        <v>0</v>
      </c>
      <c r="AU98" s="16">
        <f t="shared" si="166"/>
        <v>0</v>
      </c>
      <c r="AV98" s="16">
        <f t="shared" si="167"/>
        <v>0</v>
      </c>
      <c r="AW98" s="16">
        <f t="shared" si="168"/>
        <v>0</v>
      </c>
      <c r="AX98" s="16">
        <f t="shared" si="169"/>
        <v>0</v>
      </c>
      <c r="AY98" s="16">
        <f t="shared" si="170"/>
        <v>0</v>
      </c>
      <c r="AZ98" s="16">
        <f t="shared" si="171"/>
        <v>0</v>
      </c>
      <c r="BA98" s="16">
        <f t="shared" si="172"/>
        <v>0</v>
      </c>
      <c r="BB98" s="16">
        <f t="shared" si="173"/>
        <v>0</v>
      </c>
      <c r="BC98" s="16">
        <f t="shared" si="174"/>
        <v>0</v>
      </c>
      <c r="BD98" s="16">
        <f t="shared" si="175"/>
        <v>0</v>
      </c>
      <c r="BE98" s="16">
        <f t="shared" si="176"/>
        <v>0</v>
      </c>
      <c r="BF98" s="16">
        <f t="shared" si="177"/>
        <v>0</v>
      </c>
      <c r="BG98" s="16">
        <f t="shared" si="178"/>
        <v>0</v>
      </c>
      <c r="BH98" s="16">
        <f t="shared" si="179"/>
        <v>0</v>
      </c>
      <c r="BI98" s="16">
        <f t="shared" si="180"/>
        <v>0</v>
      </c>
      <c r="BJ98" s="16">
        <f t="shared" si="181"/>
        <v>0</v>
      </c>
      <c r="BK98" s="16">
        <f t="shared" si="182"/>
        <v>0</v>
      </c>
      <c r="BL98" s="16">
        <f t="shared" si="183"/>
        <v>0</v>
      </c>
      <c r="BM98" s="16">
        <f t="shared" si="184"/>
        <v>0</v>
      </c>
      <c r="BN98" s="16">
        <f t="shared" si="185"/>
        <v>0</v>
      </c>
      <c r="BO98" s="16">
        <f t="shared" si="186"/>
        <v>0</v>
      </c>
      <c r="BP98" s="16">
        <f t="shared" si="187"/>
        <v>0</v>
      </c>
      <c r="BQ98" s="16">
        <f t="shared" si="188"/>
        <v>0</v>
      </c>
      <c r="BR98" s="16">
        <f t="shared" si="189"/>
        <v>0</v>
      </c>
      <c r="BS98" s="16">
        <f t="shared" si="190"/>
        <v>0</v>
      </c>
      <c r="BT98" s="16">
        <f t="shared" si="191"/>
        <v>0</v>
      </c>
    </row>
    <row r="99" spans="2:72" x14ac:dyDescent="0.2">
      <c r="B99" s="16">
        <f>N('Registru mijloace fixe'!$I99)</f>
        <v>0</v>
      </c>
      <c r="C99" s="27">
        <f>N('Registru mijloace fixe'!$J99)</f>
        <v>0</v>
      </c>
      <c r="D99" s="16" t="str">
        <f>'Registru mijloace fixe'!$K99&amp;""</f>
        <v/>
      </c>
      <c r="E99" s="16">
        <f t="shared" si="128"/>
        <v>1.5</v>
      </c>
      <c r="F99" s="16">
        <f t="shared" si="129"/>
        <v>0.5</v>
      </c>
      <c r="G99" s="16">
        <f t="shared" si="130"/>
        <v>0</v>
      </c>
      <c r="H99" s="16">
        <f t="shared" si="131"/>
        <v>0</v>
      </c>
      <c r="I99" s="16">
        <f t="shared" si="132"/>
        <v>0</v>
      </c>
      <c r="J99" s="16">
        <f t="shared" si="133"/>
        <v>0</v>
      </c>
      <c r="K99" s="16">
        <f t="shared" si="134"/>
        <v>0</v>
      </c>
      <c r="L99" s="16">
        <f t="shared" si="135"/>
        <v>0</v>
      </c>
      <c r="M99" s="16">
        <f t="shared" si="136"/>
        <v>0</v>
      </c>
      <c r="N99" s="16">
        <f t="shared" si="137"/>
        <v>0</v>
      </c>
      <c r="O99" s="16">
        <f t="shared" si="138"/>
        <v>0</v>
      </c>
      <c r="P99" s="16">
        <f t="shared" si="139"/>
        <v>0</v>
      </c>
      <c r="Q99" s="16">
        <f t="shared" si="140"/>
        <v>0</v>
      </c>
      <c r="R99" s="16">
        <f t="shared" si="141"/>
        <v>0</v>
      </c>
      <c r="S99" s="16">
        <f t="shared" si="142"/>
        <v>0</v>
      </c>
      <c r="T99" s="16">
        <f t="shared" si="143"/>
        <v>0</v>
      </c>
      <c r="U99" s="16">
        <f t="shared" si="144"/>
        <v>0</v>
      </c>
      <c r="V99" s="16">
        <f t="shared" si="145"/>
        <v>0</v>
      </c>
      <c r="W99" s="16">
        <f t="shared" si="146"/>
        <v>0</v>
      </c>
      <c r="X99" s="16">
        <f t="shared" si="147"/>
        <v>0</v>
      </c>
      <c r="Y99" s="16">
        <f t="shared" si="148"/>
        <v>0</v>
      </c>
      <c r="Z99" s="16">
        <f t="shared" si="149"/>
        <v>0</v>
      </c>
      <c r="AA99" s="16">
        <f t="shared" si="150"/>
        <v>0</v>
      </c>
      <c r="AB99" s="16">
        <f t="shared" si="151"/>
        <v>0</v>
      </c>
      <c r="AC99" s="16">
        <f t="shared" si="152"/>
        <v>0</v>
      </c>
      <c r="AD99" s="16">
        <f t="shared" si="153"/>
        <v>0</v>
      </c>
      <c r="AE99" s="16">
        <f t="shared" si="154"/>
        <v>0</v>
      </c>
      <c r="AF99" s="16">
        <f t="shared" si="155"/>
        <v>0</v>
      </c>
      <c r="AG99" s="16">
        <f t="shared" si="156"/>
        <v>0</v>
      </c>
      <c r="AH99" s="16">
        <f t="shared" si="157"/>
        <v>0</v>
      </c>
      <c r="AI99" s="16">
        <f t="shared" si="158"/>
        <v>0</v>
      </c>
      <c r="AJ99" s="16">
        <f t="shared" si="159"/>
        <v>0</v>
      </c>
      <c r="AK99" s="16"/>
      <c r="AL99" s="16"/>
      <c r="AM99" s="16">
        <f>IF(NOT(ISNUMBER('Registru mijloace fixe'!$R99)),0,MAX(0,MIN(((YEAR(LunaRef)-YEAR('Registru mijloace fixe'!$R99))*12+MONTH(LunaRef)-MONTH('Registru mijloace fixe'!$R99)+1)-1,IF(ISNUMBER('Registru mijloace fixe'!$N99),((YEAR('Registru mijloace fixe'!$N99)-YEAR('Registru mijloace fixe'!$R99))*12+MONTH('Registru mijloace fixe'!$N99)-MONTH('Registru mijloace fixe'!$R99)+1),9999),C99*12)))</f>
        <v>0</v>
      </c>
      <c r="AN99" s="27">
        <f>IF(NOT(ISNUMBER('Registru mijloace fixe'!$R99)),0,MAX(0,MIN(((YEAR(LunaRef)-YEAR('Registru mijloace fixe'!$R99))*12+MONTH(LunaRef)-MONTH('Registru mijloace fixe'!$R99)+1),IF(ISNUMBER('Registru mijloace fixe'!$N99),((YEAR('Registru mijloace fixe'!$N99)-YEAR('Registru mijloace fixe'!$R99))*12+MONTH('Registru mijloace fixe'!$N99)-MONTH('Registru mijloace fixe'!$R99)+1),9999),C99*12)))</f>
        <v>0</v>
      </c>
      <c r="AO99" s="16">
        <f t="shared" si="160"/>
        <v>0</v>
      </c>
      <c r="AP99" s="16">
        <f t="shared" si="161"/>
        <v>0</v>
      </c>
      <c r="AQ99" s="16">
        <f t="shared" si="162"/>
        <v>0</v>
      </c>
      <c r="AR99" s="16">
        <f t="shared" si="163"/>
        <v>0</v>
      </c>
      <c r="AS99" s="16">
        <f t="shared" si="164"/>
        <v>0</v>
      </c>
      <c r="AT99" s="16">
        <f t="shared" si="165"/>
        <v>0</v>
      </c>
      <c r="AU99" s="16">
        <f t="shared" si="166"/>
        <v>0</v>
      </c>
      <c r="AV99" s="16">
        <f t="shared" si="167"/>
        <v>0</v>
      </c>
      <c r="AW99" s="16">
        <f t="shared" si="168"/>
        <v>0</v>
      </c>
      <c r="AX99" s="16">
        <f t="shared" si="169"/>
        <v>0</v>
      </c>
      <c r="AY99" s="16">
        <f t="shared" si="170"/>
        <v>0</v>
      </c>
      <c r="AZ99" s="16">
        <f t="shared" si="171"/>
        <v>0</v>
      </c>
      <c r="BA99" s="16">
        <f t="shared" si="172"/>
        <v>0</v>
      </c>
      <c r="BB99" s="16">
        <f t="shared" si="173"/>
        <v>0</v>
      </c>
      <c r="BC99" s="16">
        <f t="shared" si="174"/>
        <v>0</v>
      </c>
      <c r="BD99" s="16">
        <f t="shared" si="175"/>
        <v>0</v>
      </c>
      <c r="BE99" s="16">
        <f t="shared" si="176"/>
        <v>0</v>
      </c>
      <c r="BF99" s="16">
        <f t="shared" si="177"/>
        <v>0</v>
      </c>
      <c r="BG99" s="16">
        <f t="shared" si="178"/>
        <v>0</v>
      </c>
      <c r="BH99" s="16">
        <f t="shared" si="179"/>
        <v>0</v>
      </c>
      <c r="BI99" s="16">
        <f t="shared" si="180"/>
        <v>0</v>
      </c>
      <c r="BJ99" s="16">
        <f t="shared" si="181"/>
        <v>0</v>
      </c>
      <c r="BK99" s="16">
        <f t="shared" si="182"/>
        <v>0</v>
      </c>
      <c r="BL99" s="16">
        <f t="shared" si="183"/>
        <v>0</v>
      </c>
      <c r="BM99" s="16">
        <f t="shared" si="184"/>
        <v>0</v>
      </c>
      <c r="BN99" s="16">
        <f t="shared" si="185"/>
        <v>0</v>
      </c>
      <c r="BO99" s="16">
        <f t="shared" si="186"/>
        <v>0</v>
      </c>
      <c r="BP99" s="16">
        <f t="shared" si="187"/>
        <v>0</v>
      </c>
      <c r="BQ99" s="16">
        <f t="shared" si="188"/>
        <v>0</v>
      </c>
      <c r="BR99" s="16">
        <f t="shared" si="189"/>
        <v>0</v>
      </c>
      <c r="BS99" s="16">
        <f t="shared" si="190"/>
        <v>0</v>
      </c>
      <c r="BT99" s="16">
        <f t="shared" si="191"/>
        <v>0</v>
      </c>
    </row>
    <row r="100" spans="2:72" x14ac:dyDescent="0.2">
      <c r="B100" s="16">
        <f>N('Registru mijloace fixe'!$I100)</f>
        <v>0</v>
      </c>
      <c r="C100" s="27">
        <f>N('Registru mijloace fixe'!$J100)</f>
        <v>0</v>
      </c>
      <c r="D100" s="16" t="str">
        <f>'Registru mijloace fixe'!$K100&amp;""</f>
        <v/>
      </c>
      <c r="E100" s="16">
        <f t="shared" si="128"/>
        <v>1.5</v>
      </c>
      <c r="F100" s="16">
        <f t="shared" si="129"/>
        <v>0.5</v>
      </c>
      <c r="G100" s="16">
        <f t="shared" si="130"/>
        <v>0</v>
      </c>
      <c r="H100" s="16">
        <f t="shared" si="131"/>
        <v>0</v>
      </c>
      <c r="I100" s="16">
        <f t="shared" si="132"/>
        <v>0</v>
      </c>
      <c r="J100" s="16">
        <f t="shared" si="133"/>
        <v>0</v>
      </c>
      <c r="K100" s="16">
        <f t="shared" si="134"/>
        <v>0</v>
      </c>
      <c r="L100" s="16">
        <f t="shared" si="135"/>
        <v>0</v>
      </c>
      <c r="M100" s="16">
        <f t="shared" si="136"/>
        <v>0</v>
      </c>
      <c r="N100" s="16">
        <f t="shared" si="137"/>
        <v>0</v>
      </c>
      <c r="O100" s="16">
        <f t="shared" si="138"/>
        <v>0</v>
      </c>
      <c r="P100" s="16">
        <f t="shared" si="139"/>
        <v>0</v>
      </c>
      <c r="Q100" s="16">
        <f t="shared" si="140"/>
        <v>0</v>
      </c>
      <c r="R100" s="16">
        <f t="shared" si="141"/>
        <v>0</v>
      </c>
      <c r="S100" s="16">
        <f t="shared" si="142"/>
        <v>0</v>
      </c>
      <c r="T100" s="16">
        <f t="shared" si="143"/>
        <v>0</v>
      </c>
      <c r="U100" s="16">
        <f t="shared" si="144"/>
        <v>0</v>
      </c>
      <c r="V100" s="16">
        <f t="shared" si="145"/>
        <v>0</v>
      </c>
      <c r="W100" s="16">
        <f t="shared" si="146"/>
        <v>0</v>
      </c>
      <c r="X100" s="16">
        <f t="shared" si="147"/>
        <v>0</v>
      </c>
      <c r="Y100" s="16">
        <f t="shared" si="148"/>
        <v>0</v>
      </c>
      <c r="Z100" s="16">
        <f t="shared" si="149"/>
        <v>0</v>
      </c>
      <c r="AA100" s="16">
        <f t="shared" si="150"/>
        <v>0</v>
      </c>
      <c r="AB100" s="16">
        <f t="shared" si="151"/>
        <v>0</v>
      </c>
      <c r="AC100" s="16">
        <f t="shared" si="152"/>
        <v>0</v>
      </c>
      <c r="AD100" s="16">
        <f t="shared" si="153"/>
        <v>0</v>
      </c>
      <c r="AE100" s="16">
        <f t="shared" si="154"/>
        <v>0</v>
      </c>
      <c r="AF100" s="16">
        <f t="shared" si="155"/>
        <v>0</v>
      </c>
      <c r="AG100" s="16">
        <f t="shared" si="156"/>
        <v>0</v>
      </c>
      <c r="AH100" s="16">
        <f t="shared" si="157"/>
        <v>0</v>
      </c>
      <c r="AI100" s="16">
        <f t="shared" si="158"/>
        <v>0</v>
      </c>
      <c r="AJ100" s="16">
        <f t="shared" si="159"/>
        <v>0</v>
      </c>
      <c r="AK100" s="16"/>
      <c r="AL100" s="16"/>
      <c r="AM100" s="16">
        <f>IF(NOT(ISNUMBER('Registru mijloace fixe'!$R100)),0,MAX(0,MIN(((YEAR(LunaRef)-YEAR('Registru mijloace fixe'!$R100))*12+MONTH(LunaRef)-MONTH('Registru mijloace fixe'!$R100)+1)-1,IF(ISNUMBER('Registru mijloace fixe'!$N100),((YEAR('Registru mijloace fixe'!$N100)-YEAR('Registru mijloace fixe'!$R100))*12+MONTH('Registru mijloace fixe'!$N100)-MONTH('Registru mijloace fixe'!$R100)+1),9999),C100*12)))</f>
        <v>0</v>
      </c>
      <c r="AN100" s="27">
        <f>IF(NOT(ISNUMBER('Registru mijloace fixe'!$R100)),0,MAX(0,MIN(((YEAR(LunaRef)-YEAR('Registru mijloace fixe'!$R100))*12+MONTH(LunaRef)-MONTH('Registru mijloace fixe'!$R100)+1),IF(ISNUMBER('Registru mijloace fixe'!$N100),((YEAR('Registru mijloace fixe'!$N100)-YEAR('Registru mijloace fixe'!$R100))*12+MONTH('Registru mijloace fixe'!$N100)-MONTH('Registru mijloace fixe'!$R100)+1),9999),C100*12)))</f>
        <v>0</v>
      </c>
      <c r="AO100" s="16">
        <f t="shared" si="160"/>
        <v>0</v>
      </c>
      <c r="AP100" s="16">
        <f t="shared" si="161"/>
        <v>0</v>
      </c>
      <c r="AQ100" s="16">
        <f t="shared" si="162"/>
        <v>0</v>
      </c>
      <c r="AR100" s="16">
        <f t="shared" si="163"/>
        <v>0</v>
      </c>
      <c r="AS100" s="16">
        <f t="shared" si="164"/>
        <v>0</v>
      </c>
      <c r="AT100" s="16">
        <f t="shared" si="165"/>
        <v>0</v>
      </c>
      <c r="AU100" s="16">
        <f t="shared" si="166"/>
        <v>0</v>
      </c>
      <c r="AV100" s="16">
        <f t="shared" si="167"/>
        <v>0</v>
      </c>
      <c r="AW100" s="16">
        <f t="shared" si="168"/>
        <v>0</v>
      </c>
      <c r="AX100" s="16">
        <f t="shared" si="169"/>
        <v>0</v>
      </c>
      <c r="AY100" s="16">
        <f t="shared" si="170"/>
        <v>0</v>
      </c>
      <c r="AZ100" s="16">
        <f t="shared" si="171"/>
        <v>0</v>
      </c>
      <c r="BA100" s="16">
        <f t="shared" si="172"/>
        <v>0</v>
      </c>
      <c r="BB100" s="16">
        <f t="shared" si="173"/>
        <v>0</v>
      </c>
      <c r="BC100" s="16">
        <f t="shared" si="174"/>
        <v>0</v>
      </c>
      <c r="BD100" s="16">
        <f t="shared" si="175"/>
        <v>0</v>
      </c>
      <c r="BE100" s="16">
        <f t="shared" si="176"/>
        <v>0</v>
      </c>
      <c r="BF100" s="16">
        <f t="shared" si="177"/>
        <v>0</v>
      </c>
      <c r="BG100" s="16">
        <f t="shared" si="178"/>
        <v>0</v>
      </c>
      <c r="BH100" s="16">
        <f t="shared" si="179"/>
        <v>0</v>
      </c>
      <c r="BI100" s="16">
        <f t="shared" si="180"/>
        <v>0</v>
      </c>
      <c r="BJ100" s="16">
        <f t="shared" si="181"/>
        <v>0</v>
      </c>
      <c r="BK100" s="16">
        <f t="shared" si="182"/>
        <v>0</v>
      </c>
      <c r="BL100" s="16">
        <f t="shared" si="183"/>
        <v>0</v>
      </c>
      <c r="BM100" s="16">
        <f t="shared" si="184"/>
        <v>0</v>
      </c>
      <c r="BN100" s="16">
        <f t="shared" si="185"/>
        <v>0</v>
      </c>
      <c r="BO100" s="16">
        <f t="shared" si="186"/>
        <v>0</v>
      </c>
      <c r="BP100" s="16">
        <f t="shared" si="187"/>
        <v>0</v>
      </c>
      <c r="BQ100" s="16">
        <f t="shared" si="188"/>
        <v>0</v>
      </c>
      <c r="BR100" s="16">
        <f t="shared" si="189"/>
        <v>0</v>
      </c>
      <c r="BS100" s="16">
        <f t="shared" si="190"/>
        <v>0</v>
      </c>
      <c r="BT100" s="16">
        <f t="shared" si="191"/>
        <v>0</v>
      </c>
    </row>
    <row r="101" spans="2:72" x14ac:dyDescent="0.2">
      <c r="B101" s="16">
        <f>N('Registru mijloace fixe'!$I101)</f>
        <v>0</v>
      </c>
      <c r="C101" s="27">
        <f>N('Registru mijloace fixe'!$J101)</f>
        <v>0</v>
      </c>
      <c r="D101" s="16" t="str">
        <f>'Registru mijloace fixe'!$K101&amp;""</f>
        <v/>
      </c>
      <c r="E101" s="16">
        <f t="shared" si="128"/>
        <v>1.5</v>
      </c>
      <c r="F101" s="16">
        <f t="shared" si="129"/>
        <v>0.5</v>
      </c>
      <c r="G101" s="16">
        <f t="shared" si="130"/>
        <v>0</v>
      </c>
      <c r="H101" s="16">
        <f t="shared" si="131"/>
        <v>0</v>
      </c>
      <c r="I101" s="16">
        <f t="shared" si="132"/>
        <v>0</v>
      </c>
      <c r="J101" s="16">
        <f t="shared" si="133"/>
        <v>0</v>
      </c>
      <c r="K101" s="16">
        <f t="shared" si="134"/>
        <v>0</v>
      </c>
      <c r="L101" s="16">
        <f t="shared" si="135"/>
        <v>0</v>
      </c>
      <c r="M101" s="16">
        <f t="shared" si="136"/>
        <v>0</v>
      </c>
      <c r="N101" s="16">
        <f t="shared" si="137"/>
        <v>0</v>
      </c>
      <c r="O101" s="16">
        <f t="shared" si="138"/>
        <v>0</v>
      </c>
      <c r="P101" s="16">
        <f t="shared" si="139"/>
        <v>0</v>
      </c>
      <c r="Q101" s="16">
        <f t="shared" si="140"/>
        <v>0</v>
      </c>
      <c r="R101" s="16">
        <f t="shared" si="141"/>
        <v>0</v>
      </c>
      <c r="S101" s="16">
        <f t="shared" si="142"/>
        <v>0</v>
      </c>
      <c r="T101" s="16">
        <f t="shared" si="143"/>
        <v>0</v>
      </c>
      <c r="U101" s="16">
        <f t="shared" si="144"/>
        <v>0</v>
      </c>
      <c r="V101" s="16">
        <f t="shared" si="145"/>
        <v>0</v>
      </c>
      <c r="W101" s="16">
        <f t="shared" si="146"/>
        <v>0</v>
      </c>
      <c r="X101" s="16">
        <f t="shared" si="147"/>
        <v>0</v>
      </c>
      <c r="Y101" s="16">
        <f t="shared" si="148"/>
        <v>0</v>
      </c>
      <c r="Z101" s="16">
        <f t="shared" si="149"/>
        <v>0</v>
      </c>
      <c r="AA101" s="16">
        <f t="shared" si="150"/>
        <v>0</v>
      </c>
      <c r="AB101" s="16">
        <f t="shared" si="151"/>
        <v>0</v>
      </c>
      <c r="AC101" s="16">
        <f t="shared" si="152"/>
        <v>0</v>
      </c>
      <c r="AD101" s="16">
        <f t="shared" si="153"/>
        <v>0</v>
      </c>
      <c r="AE101" s="16">
        <f t="shared" si="154"/>
        <v>0</v>
      </c>
      <c r="AF101" s="16">
        <f t="shared" si="155"/>
        <v>0</v>
      </c>
      <c r="AG101" s="16">
        <f t="shared" si="156"/>
        <v>0</v>
      </c>
      <c r="AH101" s="16">
        <f t="shared" si="157"/>
        <v>0</v>
      </c>
      <c r="AI101" s="16">
        <f t="shared" si="158"/>
        <v>0</v>
      </c>
      <c r="AJ101" s="16">
        <f t="shared" si="159"/>
        <v>0</v>
      </c>
      <c r="AK101" s="16"/>
      <c r="AL101" s="16"/>
      <c r="AM101" s="16">
        <f>IF(NOT(ISNUMBER('Registru mijloace fixe'!$R101)),0,MAX(0,MIN(((YEAR(LunaRef)-YEAR('Registru mijloace fixe'!$R101))*12+MONTH(LunaRef)-MONTH('Registru mijloace fixe'!$R101)+1)-1,IF(ISNUMBER('Registru mijloace fixe'!$N101),((YEAR('Registru mijloace fixe'!$N101)-YEAR('Registru mijloace fixe'!$R101))*12+MONTH('Registru mijloace fixe'!$N101)-MONTH('Registru mijloace fixe'!$R101)+1),9999),C101*12)))</f>
        <v>0</v>
      </c>
      <c r="AN101" s="27">
        <f>IF(NOT(ISNUMBER('Registru mijloace fixe'!$R101)),0,MAX(0,MIN(((YEAR(LunaRef)-YEAR('Registru mijloace fixe'!$R101))*12+MONTH(LunaRef)-MONTH('Registru mijloace fixe'!$R101)+1),IF(ISNUMBER('Registru mijloace fixe'!$N101),((YEAR('Registru mijloace fixe'!$N101)-YEAR('Registru mijloace fixe'!$R101))*12+MONTH('Registru mijloace fixe'!$N101)-MONTH('Registru mijloace fixe'!$R101)+1),9999),C101*12)))</f>
        <v>0</v>
      </c>
      <c r="AO101" s="16">
        <f t="shared" ref="AO101:AO104" si="192">IF((AN101)&lt;=0,0,IF($D101="Liniară",MIN($B101,$B101*(AN101)/($C101*12)),MIN($B101,IF(INT((AN101)/12)=0,0,INDEX($AQ101:$BT101,MIN(INT((AN101)/12),30)))+IF(INT((AN101)/12)&gt;=30,0,MOD((AN101),12)/12*INDEX($G101:$AJ101,INT((AN101)/12)+1)))))</f>
        <v>0</v>
      </c>
      <c r="AP101" s="16">
        <f t="shared" si="161"/>
        <v>0</v>
      </c>
      <c r="AQ101" s="16">
        <f t="shared" si="162"/>
        <v>0</v>
      </c>
      <c r="AR101" s="16">
        <f t="shared" ref="AR101:AR104" si="193">AQ101+H101</f>
        <v>0</v>
      </c>
      <c r="AS101" s="16">
        <f t="shared" ref="AS101:AS104" si="194">AR101+I101</f>
        <v>0</v>
      </c>
      <c r="AT101" s="16">
        <f t="shared" ref="AT101:AT104" si="195">AS101+J101</f>
        <v>0</v>
      </c>
      <c r="AU101" s="16">
        <f t="shared" ref="AU101:AU104" si="196">AT101+K101</f>
        <v>0</v>
      </c>
      <c r="AV101" s="16">
        <f t="shared" ref="AV101:AV104" si="197">AU101+L101</f>
        <v>0</v>
      </c>
      <c r="AW101" s="16">
        <f t="shared" ref="AW101:AW104" si="198">AV101+M101</f>
        <v>0</v>
      </c>
      <c r="AX101" s="16">
        <f t="shared" ref="AX101:AX104" si="199">AW101+N101</f>
        <v>0</v>
      </c>
      <c r="AY101" s="16">
        <f t="shared" ref="AY101:AY104" si="200">AX101+O101</f>
        <v>0</v>
      </c>
      <c r="AZ101" s="16">
        <f t="shared" ref="AZ101:AZ104" si="201">AY101+P101</f>
        <v>0</v>
      </c>
      <c r="BA101" s="16">
        <f t="shared" ref="BA101:BA104" si="202">AZ101+Q101</f>
        <v>0</v>
      </c>
      <c r="BB101" s="16">
        <f t="shared" ref="BB101:BB104" si="203">BA101+R101</f>
        <v>0</v>
      </c>
      <c r="BC101" s="16">
        <f t="shared" ref="BC101:BC104" si="204">BB101+S101</f>
        <v>0</v>
      </c>
      <c r="BD101" s="16">
        <f t="shared" ref="BD101:BD104" si="205">BC101+T101</f>
        <v>0</v>
      </c>
      <c r="BE101" s="16">
        <f t="shared" ref="BE101:BE104" si="206">BD101+U101</f>
        <v>0</v>
      </c>
      <c r="BF101" s="16">
        <f t="shared" ref="BF101:BF104" si="207">BE101+V101</f>
        <v>0</v>
      </c>
      <c r="BG101" s="16">
        <f t="shared" ref="BG101:BG104" si="208">BF101+W101</f>
        <v>0</v>
      </c>
      <c r="BH101" s="16">
        <f t="shared" ref="BH101:BH104" si="209">BG101+X101</f>
        <v>0</v>
      </c>
      <c r="BI101" s="16">
        <f t="shared" ref="BI101:BI104" si="210">BH101+Y101</f>
        <v>0</v>
      </c>
      <c r="BJ101" s="16">
        <f t="shared" ref="BJ101:BJ104" si="211">BI101+Z101</f>
        <v>0</v>
      </c>
      <c r="BK101" s="16">
        <f t="shared" ref="BK101:BK104" si="212">BJ101+AA101</f>
        <v>0</v>
      </c>
      <c r="BL101" s="16">
        <f t="shared" ref="BL101:BL104" si="213">BK101+AB101</f>
        <v>0</v>
      </c>
      <c r="BM101" s="16">
        <f t="shared" ref="BM101:BM104" si="214">BL101+AC101</f>
        <v>0</v>
      </c>
      <c r="BN101" s="16">
        <f t="shared" ref="BN101:BN104" si="215">BM101+AD101</f>
        <v>0</v>
      </c>
      <c r="BO101" s="16">
        <f t="shared" ref="BO101:BO104" si="216">BN101+AE101</f>
        <v>0</v>
      </c>
      <c r="BP101" s="16">
        <f t="shared" ref="BP101:BP104" si="217">BO101+AF101</f>
        <v>0</v>
      </c>
      <c r="BQ101" s="16">
        <f t="shared" ref="BQ101:BQ104" si="218">BP101+AG101</f>
        <v>0</v>
      </c>
      <c r="BR101" s="16">
        <f t="shared" ref="BR101:BR104" si="219">BQ101+AH101</f>
        <v>0</v>
      </c>
      <c r="BS101" s="16">
        <f t="shared" ref="BS101:BS104" si="220">BR101+AI101</f>
        <v>0</v>
      </c>
      <c r="BT101" s="16">
        <f t="shared" ref="BT101:BT104" si="221">BS101+AJ101</f>
        <v>0</v>
      </c>
    </row>
    <row r="102" spans="2:72" x14ac:dyDescent="0.2">
      <c r="B102" s="16">
        <f>N('Registru mijloace fixe'!$I102)</f>
        <v>0</v>
      </c>
      <c r="C102" s="27">
        <f>N('Registru mijloace fixe'!$J102)</f>
        <v>0</v>
      </c>
      <c r="D102" s="16" t="str">
        <f>'Registru mijloace fixe'!$K102&amp;""</f>
        <v/>
      </c>
      <c r="E102" s="16">
        <f t="shared" si="128"/>
        <v>1.5</v>
      </c>
      <c r="F102" s="16">
        <f t="shared" si="129"/>
        <v>0.5</v>
      </c>
      <c r="G102" s="16">
        <f t="shared" si="130"/>
        <v>0</v>
      </c>
      <c r="H102" s="16">
        <f t="shared" si="131"/>
        <v>0</v>
      </c>
      <c r="I102" s="16">
        <f t="shared" si="132"/>
        <v>0</v>
      </c>
      <c r="J102" s="16">
        <f t="shared" si="133"/>
        <v>0</v>
      </c>
      <c r="K102" s="16">
        <f t="shared" si="134"/>
        <v>0</v>
      </c>
      <c r="L102" s="16">
        <f t="shared" si="135"/>
        <v>0</v>
      </c>
      <c r="M102" s="16">
        <f t="shared" si="136"/>
        <v>0</v>
      </c>
      <c r="N102" s="16">
        <f t="shared" si="137"/>
        <v>0</v>
      </c>
      <c r="O102" s="16">
        <f t="shared" si="138"/>
        <v>0</v>
      </c>
      <c r="P102" s="16">
        <f t="shared" si="139"/>
        <v>0</v>
      </c>
      <c r="Q102" s="16">
        <f t="shared" si="140"/>
        <v>0</v>
      </c>
      <c r="R102" s="16">
        <f t="shared" si="141"/>
        <v>0</v>
      </c>
      <c r="S102" s="16">
        <f t="shared" si="142"/>
        <v>0</v>
      </c>
      <c r="T102" s="16">
        <f t="shared" si="143"/>
        <v>0</v>
      </c>
      <c r="U102" s="16">
        <f t="shared" si="144"/>
        <v>0</v>
      </c>
      <c r="V102" s="16">
        <f t="shared" si="145"/>
        <v>0</v>
      </c>
      <c r="W102" s="16">
        <f t="shared" si="146"/>
        <v>0</v>
      </c>
      <c r="X102" s="16">
        <f t="shared" si="147"/>
        <v>0</v>
      </c>
      <c r="Y102" s="16">
        <f t="shared" si="148"/>
        <v>0</v>
      </c>
      <c r="Z102" s="16">
        <f t="shared" si="149"/>
        <v>0</v>
      </c>
      <c r="AA102" s="16">
        <f t="shared" si="150"/>
        <v>0</v>
      </c>
      <c r="AB102" s="16">
        <f t="shared" si="151"/>
        <v>0</v>
      </c>
      <c r="AC102" s="16">
        <f t="shared" si="152"/>
        <v>0</v>
      </c>
      <c r="AD102" s="16">
        <f t="shared" si="153"/>
        <v>0</v>
      </c>
      <c r="AE102" s="16">
        <f t="shared" si="154"/>
        <v>0</v>
      </c>
      <c r="AF102" s="16">
        <f t="shared" si="155"/>
        <v>0</v>
      </c>
      <c r="AG102" s="16">
        <f t="shared" si="156"/>
        <v>0</v>
      </c>
      <c r="AH102" s="16">
        <f t="shared" si="157"/>
        <v>0</v>
      </c>
      <c r="AI102" s="16">
        <f t="shared" si="158"/>
        <v>0</v>
      </c>
      <c r="AJ102" s="16">
        <f t="shared" si="159"/>
        <v>0</v>
      </c>
      <c r="AK102" s="16"/>
      <c r="AL102" s="16"/>
      <c r="AM102" s="16">
        <f>IF(NOT(ISNUMBER('Registru mijloace fixe'!$R102)),0,MAX(0,MIN(((YEAR(LunaRef)-YEAR('Registru mijloace fixe'!$R102))*12+MONTH(LunaRef)-MONTH('Registru mijloace fixe'!$R102)+1)-1,IF(ISNUMBER('Registru mijloace fixe'!$N102),((YEAR('Registru mijloace fixe'!$N102)-YEAR('Registru mijloace fixe'!$R102))*12+MONTH('Registru mijloace fixe'!$N102)-MONTH('Registru mijloace fixe'!$R102)+1),9999),C102*12)))</f>
        <v>0</v>
      </c>
      <c r="AN102" s="27">
        <f>IF(NOT(ISNUMBER('Registru mijloace fixe'!$R102)),0,MAX(0,MIN(((YEAR(LunaRef)-YEAR('Registru mijloace fixe'!$R102))*12+MONTH(LunaRef)-MONTH('Registru mijloace fixe'!$R102)+1),IF(ISNUMBER('Registru mijloace fixe'!$N102),((YEAR('Registru mijloace fixe'!$N102)-YEAR('Registru mijloace fixe'!$R102))*12+MONTH('Registru mijloace fixe'!$N102)-MONTH('Registru mijloace fixe'!$R102)+1),9999),C102*12)))</f>
        <v>0</v>
      </c>
      <c r="AO102" s="16">
        <f t="shared" si="192"/>
        <v>0</v>
      </c>
      <c r="AP102" s="16">
        <f t="shared" si="161"/>
        <v>0</v>
      </c>
      <c r="AQ102" s="16">
        <f t="shared" si="162"/>
        <v>0</v>
      </c>
      <c r="AR102" s="16">
        <f t="shared" si="193"/>
        <v>0</v>
      </c>
      <c r="AS102" s="16">
        <f t="shared" si="194"/>
        <v>0</v>
      </c>
      <c r="AT102" s="16">
        <f t="shared" si="195"/>
        <v>0</v>
      </c>
      <c r="AU102" s="16">
        <f t="shared" si="196"/>
        <v>0</v>
      </c>
      <c r="AV102" s="16">
        <f t="shared" si="197"/>
        <v>0</v>
      </c>
      <c r="AW102" s="16">
        <f t="shared" si="198"/>
        <v>0</v>
      </c>
      <c r="AX102" s="16">
        <f t="shared" si="199"/>
        <v>0</v>
      </c>
      <c r="AY102" s="16">
        <f t="shared" si="200"/>
        <v>0</v>
      </c>
      <c r="AZ102" s="16">
        <f t="shared" si="201"/>
        <v>0</v>
      </c>
      <c r="BA102" s="16">
        <f t="shared" si="202"/>
        <v>0</v>
      </c>
      <c r="BB102" s="16">
        <f t="shared" si="203"/>
        <v>0</v>
      </c>
      <c r="BC102" s="16">
        <f t="shared" si="204"/>
        <v>0</v>
      </c>
      <c r="BD102" s="16">
        <f t="shared" si="205"/>
        <v>0</v>
      </c>
      <c r="BE102" s="16">
        <f t="shared" si="206"/>
        <v>0</v>
      </c>
      <c r="BF102" s="16">
        <f t="shared" si="207"/>
        <v>0</v>
      </c>
      <c r="BG102" s="16">
        <f t="shared" si="208"/>
        <v>0</v>
      </c>
      <c r="BH102" s="16">
        <f t="shared" si="209"/>
        <v>0</v>
      </c>
      <c r="BI102" s="16">
        <f t="shared" si="210"/>
        <v>0</v>
      </c>
      <c r="BJ102" s="16">
        <f t="shared" si="211"/>
        <v>0</v>
      </c>
      <c r="BK102" s="16">
        <f t="shared" si="212"/>
        <v>0</v>
      </c>
      <c r="BL102" s="16">
        <f t="shared" si="213"/>
        <v>0</v>
      </c>
      <c r="BM102" s="16">
        <f t="shared" si="214"/>
        <v>0</v>
      </c>
      <c r="BN102" s="16">
        <f t="shared" si="215"/>
        <v>0</v>
      </c>
      <c r="BO102" s="16">
        <f t="shared" si="216"/>
        <v>0</v>
      </c>
      <c r="BP102" s="16">
        <f t="shared" si="217"/>
        <v>0</v>
      </c>
      <c r="BQ102" s="16">
        <f t="shared" si="218"/>
        <v>0</v>
      </c>
      <c r="BR102" s="16">
        <f t="shared" si="219"/>
        <v>0</v>
      </c>
      <c r="BS102" s="16">
        <f t="shared" si="220"/>
        <v>0</v>
      </c>
      <c r="BT102" s="16">
        <f t="shared" si="221"/>
        <v>0</v>
      </c>
    </row>
    <row r="103" spans="2:72" x14ac:dyDescent="0.2">
      <c r="B103" s="16">
        <f>N('Registru mijloace fixe'!$I103)</f>
        <v>0</v>
      </c>
      <c r="C103" s="27">
        <f>N('Registru mijloace fixe'!$J103)</f>
        <v>0</v>
      </c>
      <c r="D103" s="16" t="str">
        <f>'Registru mijloace fixe'!$K103&amp;""</f>
        <v/>
      </c>
      <c r="E103" s="16">
        <f t="shared" si="128"/>
        <v>1.5</v>
      </c>
      <c r="F103" s="16">
        <f t="shared" si="129"/>
        <v>0.5</v>
      </c>
      <c r="G103" s="16">
        <f t="shared" si="130"/>
        <v>0</v>
      </c>
      <c r="H103" s="16">
        <f t="shared" si="131"/>
        <v>0</v>
      </c>
      <c r="I103" s="16">
        <f t="shared" si="132"/>
        <v>0</v>
      </c>
      <c r="J103" s="16">
        <f t="shared" si="133"/>
        <v>0</v>
      </c>
      <c r="K103" s="16">
        <f t="shared" si="134"/>
        <v>0</v>
      </c>
      <c r="L103" s="16">
        <f t="shared" si="135"/>
        <v>0</v>
      </c>
      <c r="M103" s="16">
        <f t="shared" si="136"/>
        <v>0</v>
      </c>
      <c r="N103" s="16">
        <f t="shared" si="137"/>
        <v>0</v>
      </c>
      <c r="O103" s="16">
        <f t="shared" si="138"/>
        <v>0</v>
      </c>
      <c r="P103" s="16">
        <f t="shared" si="139"/>
        <v>0</v>
      </c>
      <c r="Q103" s="16">
        <f t="shared" si="140"/>
        <v>0</v>
      </c>
      <c r="R103" s="16">
        <f t="shared" si="141"/>
        <v>0</v>
      </c>
      <c r="S103" s="16">
        <f t="shared" si="142"/>
        <v>0</v>
      </c>
      <c r="T103" s="16">
        <f t="shared" si="143"/>
        <v>0</v>
      </c>
      <c r="U103" s="16">
        <f t="shared" si="144"/>
        <v>0</v>
      </c>
      <c r="V103" s="16">
        <f t="shared" si="145"/>
        <v>0</v>
      </c>
      <c r="W103" s="16">
        <f t="shared" si="146"/>
        <v>0</v>
      </c>
      <c r="X103" s="16">
        <f t="shared" si="147"/>
        <v>0</v>
      </c>
      <c r="Y103" s="16">
        <f t="shared" si="148"/>
        <v>0</v>
      </c>
      <c r="Z103" s="16">
        <f t="shared" si="149"/>
        <v>0</v>
      </c>
      <c r="AA103" s="16">
        <f t="shared" si="150"/>
        <v>0</v>
      </c>
      <c r="AB103" s="16">
        <f t="shared" si="151"/>
        <v>0</v>
      </c>
      <c r="AC103" s="16">
        <f t="shared" si="152"/>
        <v>0</v>
      </c>
      <c r="AD103" s="16">
        <f t="shared" si="153"/>
        <v>0</v>
      </c>
      <c r="AE103" s="16">
        <f t="shared" si="154"/>
        <v>0</v>
      </c>
      <c r="AF103" s="16">
        <f t="shared" si="155"/>
        <v>0</v>
      </c>
      <c r="AG103" s="16">
        <f t="shared" si="156"/>
        <v>0</v>
      </c>
      <c r="AH103" s="16">
        <f t="shared" si="157"/>
        <v>0</v>
      </c>
      <c r="AI103" s="16">
        <f t="shared" si="158"/>
        <v>0</v>
      </c>
      <c r="AJ103" s="16">
        <f t="shared" si="159"/>
        <v>0</v>
      </c>
      <c r="AK103" s="16"/>
      <c r="AL103" s="16"/>
      <c r="AM103" s="16">
        <f>IF(NOT(ISNUMBER('Registru mijloace fixe'!$R103)),0,MAX(0,MIN(((YEAR(LunaRef)-YEAR('Registru mijloace fixe'!$R103))*12+MONTH(LunaRef)-MONTH('Registru mijloace fixe'!$R103)+1)-1,IF(ISNUMBER('Registru mijloace fixe'!$N103),((YEAR('Registru mijloace fixe'!$N103)-YEAR('Registru mijloace fixe'!$R103))*12+MONTH('Registru mijloace fixe'!$N103)-MONTH('Registru mijloace fixe'!$R103)+1),9999),C103*12)))</f>
        <v>0</v>
      </c>
      <c r="AN103" s="27">
        <f>IF(NOT(ISNUMBER('Registru mijloace fixe'!$R103)),0,MAX(0,MIN(((YEAR(LunaRef)-YEAR('Registru mijloace fixe'!$R103))*12+MONTH(LunaRef)-MONTH('Registru mijloace fixe'!$R103)+1),IF(ISNUMBER('Registru mijloace fixe'!$N103),((YEAR('Registru mijloace fixe'!$N103)-YEAR('Registru mijloace fixe'!$R103))*12+MONTH('Registru mijloace fixe'!$N103)-MONTH('Registru mijloace fixe'!$R103)+1),9999),C103*12)))</f>
        <v>0</v>
      </c>
      <c r="AO103" s="16">
        <f t="shared" si="192"/>
        <v>0</v>
      </c>
      <c r="AP103" s="16">
        <f t="shared" si="161"/>
        <v>0</v>
      </c>
      <c r="AQ103" s="16">
        <f t="shared" si="162"/>
        <v>0</v>
      </c>
      <c r="AR103" s="16">
        <f t="shared" si="193"/>
        <v>0</v>
      </c>
      <c r="AS103" s="16">
        <f t="shared" si="194"/>
        <v>0</v>
      </c>
      <c r="AT103" s="16">
        <f t="shared" si="195"/>
        <v>0</v>
      </c>
      <c r="AU103" s="16">
        <f t="shared" si="196"/>
        <v>0</v>
      </c>
      <c r="AV103" s="16">
        <f t="shared" si="197"/>
        <v>0</v>
      </c>
      <c r="AW103" s="16">
        <f t="shared" si="198"/>
        <v>0</v>
      </c>
      <c r="AX103" s="16">
        <f t="shared" si="199"/>
        <v>0</v>
      </c>
      <c r="AY103" s="16">
        <f t="shared" si="200"/>
        <v>0</v>
      </c>
      <c r="AZ103" s="16">
        <f t="shared" si="201"/>
        <v>0</v>
      </c>
      <c r="BA103" s="16">
        <f t="shared" si="202"/>
        <v>0</v>
      </c>
      <c r="BB103" s="16">
        <f t="shared" si="203"/>
        <v>0</v>
      </c>
      <c r="BC103" s="16">
        <f t="shared" si="204"/>
        <v>0</v>
      </c>
      <c r="BD103" s="16">
        <f t="shared" si="205"/>
        <v>0</v>
      </c>
      <c r="BE103" s="16">
        <f t="shared" si="206"/>
        <v>0</v>
      </c>
      <c r="BF103" s="16">
        <f t="shared" si="207"/>
        <v>0</v>
      </c>
      <c r="BG103" s="16">
        <f t="shared" si="208"/>
        <v>0</v>
      </c>
      <c r="BH103" s="16">
        <f t="shared" si="209"/>
        <v>0</v>
      </c>
      <c r="BI103" s="16">
        <f t="shared" si="210"/>
        <v>0</v>
      </c>
      <c r="BJ103" s="16">
        <f t="shared" si="211"/>
        <v>0</v>
      </c>
      <c r="BK103" s="16">
        <f t="shared" si="212"/>
        <v>0</v>
      </c>
      <c r="BL103" s="16">
        <f t="shared" si="213"/>
        <v>0</v>
      </c>
      <c r="BM103" s="16">
        <f t="shared" si="214"/>
        <v>0</v>
      </c>
      <c r="BN103" s="16">
        <f t="shared" si="215"/>
        <v>0</v>
      </c>
      <c r="BO103" s="16">
        <f t="shared" si="216"/>
        <v>0</v>
      </c>
      <c r="BP103" s="16">
        <f t="shared" si="217"/>
        <v>0</v>
      </c>
      <c r="BQ103" s="16">
        <f t="shared" si="218"/>
        <v>0</v>
      </c>
      <c r="BR103" s="16">
        <f t="shared" si="219"/>
        <v>0</v>
      </c>
      <c r="BS103" s="16">
        <f t="shared" si="220"/>
        <v>0</v>
      </c>
      <c r="BT103" s="16">
        <f t="shared" si="221"/>
        <v>0</v>
      </c>
    </row>
    <row r="104" spans="2:72" x14ac:dyDescent="0.2">
      <c r="B104" s="16">
        <f>N('Registru mijloace fixe'!$I104)</f>
        <v>0</v>
      </c>
      <c r="C104" s="27">
        <f>N('Registru mijloace fixe'!$J104)</f>
        <v>0</v>
      </c>
      <c r="D104" s="16" t="str">
        <f>'Registru mijloace fixe'!$K104&amp;""</f>
        <v/>
      </c>
      <c r="E104" s="16">
        <f t="shared" si="128"/>
        <v>1.5</v>
      </c>
      <c r="F104" s="16">
        <f t="shared" si="129"/>
        <v>0.5</v>
      </c>
      <c r="G104" s="16">
        <f t="shared" si="130"/>
        <v>0</v>
      </c>
      <c r="H104" s="16">
        <f t="shared" si="131"/>
        <v>0</v>
      </c>
      <c r="I104" s="16">
        <f t="shared" si="132"/>
        <v>0</v>
      </c>
      <c r="J104" s="16">
        <f t="shared" si="133"/>
        <v>0</v>
      </c>
      <c r="K104" s="16">
        <f t="shared" si="134"/>
        <v>0</v>
      </c>
      <c r="L104" s="16">
        <f t="shared" si="135"/>
        <v>0</v>
      </c>
      <c r="M104" s="16">
        <f t="shared" si="136"/>
        <v>0</v>
      </c>
      <c r="N104" s="16">
        <f t="shared" si="137"/>
        <v>0</v>
      </c>
      <c r="O104" s="16">
        <f t="shared" si="138"/>
        <v>0</v>
      </c>
      <c r="P104" s="16">
        <f t="shared" si="139"/>
        <v>0</v>
      </c>
      <c r="Q104" s="16">
        <f t="shared" si="140"/>
        <v>0</v>
      </c>
      <c r="R104" s="16">
        <f t="shared" si="141"/>
        <v>0</v>
      </c>
      <c r="S104" s="16">
        <f t="shared" si="142"/>
        <v>0</v>
      </c>
      <c r="T104" s="16">
        <f t="shared" si="143"/>
        <v>0</v>
      </c>
      <c r="U104" s="16">
        <f t="shared" si="144"/>
        <v>0</v>
      </c>
      <c r="V104" s="16">
        <f t="shared" si="145"/>
        <v>0</v>
      </c>
      <c r="W104" s="16">
        <f t="shared" si="146"/>
        <v>0</v>
      </c>
      <c r="X104" s="16">
        <f t="shared" si="147"/>
        <v>0</v>
      </c>
      <c r="Y104" s="16">
        <f t="shared" si="148"/>
        <v>0</v>
      </c>
      <c r="Z104" s="16">
        <f t="shared" si="149"/>
        <v>0</v>
      </c>
      <c r="AA104" s="16">
        <f t="shared" si="150"/>
        <v>0</v>
      </c>
      <c r="AB104" s="16">
        <f t="shared" si="151"/>
        <v>0</v>
      </c>
      <c r="AC104" s="16">
        <f t="shared" si="152"/>
        <v>0</v>
      </c>
      <c r="AD104" s="16">
        <f t="shared" si="153"/>
        <v>0</v>
      </c>
      <c r="AE104" s="16">
        <f t="shared" si="154"/>
        <v>0</v>
      </c>
      <c r="AF104" s="16">
        <f t="shared" si="155"/>
        <v>0</v>
      </c>
      <c r="AG104" s="16">
        <f t="shared" si="156"/>
        <v>0</v>
      </c>
      <c r="AH104" s="16">
        <f t="shared" si="157"/>
        <v>0</v>
      </c>
      <c r="AI104" s="16">
        <f t="shared" si="158"/>
        <v>0</v>
      </c>
      <c r="AJ104" s="16">
        <f t="shared" si="159"/>
        <v>0</v>
      </c>
      <c r="AK104" s="16"/>
      <c r="AL104" s="16"/>
      <c r="AM104" s="16">
        <f>IF(NOT(ISNUMBER('Registru mijloace fixe'!$R104)),0,MAX(0,MIN(((YEAR(LunaRef)-YEAR('Registru mijloace fixe'!$R104))*12+MONTH(LunaRef)-MONTH('Registru mijloace fixe'!$R104)+1)-1,IF(ISNUMBER('Registru mijloace fixe'!$N104),((YEAR('Registru mijloace fixe'!$N104)-YEAR('Registru mijloace fixe'!$R104))*12+MONTH('Registru mijloace fixe'!$N104)-MONTH('Registru mijloace fixe'!$R104)+1),9999),C104*12)))</f>
        <v>0</v>
      </c>
      <c r="AN104" s="27">
        <f>IF(NOT(ISNUMBER('Registru mijloace fixe'!$R104)),0,MAX(0,MIN(((YEAR(LunaRef)-YEAR('Registru mijloace fixe'!$R104))*12+MONTH(LunaRef)-MONTH('Registru mijloace fixe'!$R104)+1),IF(ISNUMBER('Registru mijloace fixe'!$N104),((YEAR('Registru mijloace fixe'!$N104)-YEAR('Registru mijloace fixe'!$R104))*12+MONTH('Registru mijloace fixe'!$N104)-MONTH('Registru mijloace fixe'!$R104)+1),9999),C104*12)))</f>
        <v>0</v>
      </c>
      <c r="AO104" s="16">
        <f t="shared" si="192"/>
        <v>0</v>
      </c>
      <c r="AP104" s="16">
        <f t="shared" si="161"/>
        <v>0</v>
      </c>
      <c r="AQ104" s="16">
        <f t="shared" si="162"/>
        <v>0</v>
      </c>
      <c r="AR104" s="16">
        <f t="shared" si="193"/>
        <v>0</v>
      </c>
      <c r="AS104" s="16">
        <f t="shared" si="194"/>
        <v>0</v>
      </c>
      <c r="AT104" s="16">
        <f t="shared" si="195"/>
        <v>0</v>
      </c>
      <c r="AU104" s="16">
        <f t="shared" si="196"/>
        <v>0</v>
      </c>
      <c r="AV104" s="16">
        <f t="shared" si="197"/>
        <v>0</v>
      </c>
      <c r="AW104" s="16">
        <f t="shared" si="198"/>
        <v>0</v>
      </c>
      <c r="AX104" s="16">
        <f t="shared" si="199"/>
        <v>0</v>
      </c>
      <c r="AY104" s="16">
        <f t="shared" si="200"/>
        <v>0</v>
      </c>
      <c r="AZ104" s="16">
        <f t="shared" si="201"/>
        <v>0</v>
      </c>
      <c r="BA104" s="16">
        <f t="shared" si="202"/>
        <v>0</v>
      </c>
      <c r="BB104" s="16">
        <f t="shared" si="203"/>
        <v>0</v>
      </c>
      <c r="BC104" s="16">
        <f t="shared" si="204"/>
        <v>0</v>
      </c>
      <c r="BD104" s="16">
        <f t="shared" si="205"/>
        <v>0</v>
      </c>
      <c r="BE104" s="16">
        <f t="shared" si="206"/>
        <v>0</v>
      </c>
      <c r="BF104" s="16">
        <f t="shared" si="207"/>
        <v>0</v>
      </c>
      <c r="BG104" s="16">
        <f t="shared" si="208"/>
        <v>0</v>
      </c>
      <c r="BH104" s="16">
        <f t="shared" si="209"/>
        <v>0</v>
      </c>
      <c r="BI104" s="16">
        <f t="shared" si="210"/>
        <v>0</v>
      </c>
      <c r="BJ104" s="16">
        <f t="shared" si="211"/>
        <v>0</v>
      </c>
      <c r="BK104" s="16">
        <f t="shared" si="212"/>
        <v>0</v>
      </c>
      <c r="BL104" s="16">
        <f t="shared" si="213"/>
        <v>0</v>
      </c>
      <c r="BM104" s="16">
        <f t="shared" si="214"/>
        <v>0</v>
      </c>
      <c r="BN104" s="16">
        <f t="shared" si="215"/>
        <v>0</v>
      </c>
      <c r="BO104" s="16">
        <f t="shared" si="216"/>
        <v>0</v>
      </c>
      <c r="BP104" s="16">
        <f t="shared" si="217"/>
        <v>0</v>
      </c>
      <c r="BQ104" s="16">
        <f t="shared" si="218"/>
        <v>0</v>
      </c>
      <c r="BR104" s="16">
        <f t="shared" si="219"/>
        <v>0</v>
      </c>
      <c r="BS104" s="16">
        <f t="shared" si="220"/>
        <v>0</v>
      </c>
      <c r="BT104" s="16">
        <f t="shared" si="22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17</vt:i4>
      </vt:variant>
    </vt:vector>
  </HeadingPairs>
  <TitlesOfParts>
    <vt:vector size="23" baseType="lpstr">
      <vt:lpstr>Registru mijloace fixe</vt:lpstr>
      <vt:lpstr>Fișa mijlocului fix</vt:lpstr>
      <vt:lpstr>Amortizare lunară</vt:lpstr>
      <vt:lpstr>Inventar</vt:lpstr>
      <vt:lpstr>Setări</vt:lpstr>
      <vt:lpstr>Calcul</vt:lpstr>
      <vt:lpstr>AnCalc</vt:lpstr>
      <vt:lpstr>'Fișa mijlocului fix'!Área_de_impresión</vt:lpstr>
      <vt:lpstr>CIF</vt:lpstr>
      <vt:lpstr>DataInv</vt:lpstr>
      <vt:lpstr>Firma</vt:lpstr>
      <vt:lpstr>Grupe</vt:lpstr>
      <vt:lpstr>ListaDaNu</vt:lpstr>
      <vt:lpstr>ListaIesire</vt:lpstr>
      <vt:lpstr>ListaMetode</vt:lpstr>
      <vt:lpstr>ListaStare</vt:lpstr>
      <vt:lpstr>LunaCalc</vt:lpstr>
      <vt:lpstr>LunaRef</vt:lpstr>
      <vt:lpstr>PlafonMF</vt:lpstr>
      <vt:lpstr>RandF</vt:lpstr>
      <vt:lpstr>TabelGrupe</vt:lpstr>
      <vt:lpstr>Inventar!Títulos_a_imprimir</vt:lpstr>
      <vt:lpstr>'Registru mijloace fixe'!Títulos_a_imprimir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Registru mijloace fixe și calcul amortizare Excel</dc:title>
  <dc:subject>Model Excel gratuit în limba română</dc:subject>
  <dc:creator>Ray Moreno · modelexcel.ro</dc:creator>
  <cp:keywords>modelexcel.ro, model Excel, Registru mijloace fixe și calcul amortizare Excel</cp:keywords>
  <dc:description>© 2026 Ray Moreno – modelexcel.ro. Model gratuit: îl poți folosi și adapta în activitatea ta. Nu este permisă revânzarea lui sau publicarea pe alte site-uri. https://modelexcel.ro/registru-mijloace-fixe-excel/</dc:description>
  <cp:lastModifiedBy>Ray Moreno · modelexcel.ro</cp:lastModifiedBy>
  <dcterms:created xsi:type="dcterms:W3CDTF">2026-10-13T19:50:43Z</dcterms:created>
  <dcterms:modified xsi:type="dcterms:W3CDTF">2026-10-13T19:56:24Z</dcterms:modified>
  <cp:category>Model Excel</cp:category>
</cp:coreProperties>
</file>