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tables/table7.xml" ContentType="application/vnd.openxmlformats-officedocument.spreadsheetml.table+xml"/>
  <Override PartName="/xl/charts/chart2.xml" ContentType="application/vnd.openxmlformats-officedocument.drawingml.chart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E40E3D4-CB1D-4D93-9408-7D57AD7AC3E9}" xr6:coauthVersionLast="47" xr6:coauthVersionMax="47" xr10:uidLastSave="{00000000-0000-0000-0000-000000000000}"/>
  <bookViews>
    <workbookView xWindow="-28920" yWindow="-120" windowWidth="29040" windowHeight="15720" xr2:uid="{C953F977-7B6A-45AD-971D-410E9F2FF75F}"/>
  </bookViews>
  <sheets>
    <sheet name="Cuprins" sheetId="1" r:id="rId1"/>
    <sheet name="Buget lunar" sheetId="2" r:id="rId2"/>
    <sheet name="Cheltuieli zilnice" sheetId="3" r:id="rId3"/>
    <sheet name="Listă de sarcini" sheetId="4" r:id="rId4"/>
    <sheet name="Clienți și contacte" sheetId="5" r:id="rId5"/>
    <sheet name="Inventar" sheetId="6" r:id="rId6"/>
    <sheet name="Vânzări lunare" sheetId="7" r:id="rId7"/>
    <sheet name="Catalog prețuri" sheetId="8" r:id="rId8"/>
  </sheets>
  <definedNames>
    <definedName name="CatCh">'Cheltuieli zilnice'!$Z$40:$Z$46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" i="8" l="1"/>
  <c r="J7" i="8"/>
  <c r="J8" i="8"/>
  <c r="J9" i="8"/>
  <c r="J10" i="8"/>
  <c r="J11" i="8"/>
  <c r="I6" i="8"/>
  <c r="I7" i="8"/>
  <c r="I8" i="8"/>
  <c r="I9" i="8"/>
  <c r="I10" i="8"/>
  <c r="I11" i="8"/>
  <c r="H6" i="8"/>
  <c r="H7" i="8"/>
  <c r="H8" i="8"/>
  <c r="H9" i="8"/>
  <c r="H10" i="8"/>
  <c r="H11" i="8"/>
  <c r="I9" i="7"/>
  <c r="I8" i="7"/>
  <c r="I7" i="7"/>
  <c r="I6" i="7"/>
  <c r="E18" i="7"/>
  <c r="D18" i="7"/>
  <c r="C18" i="7"/>
  <c r="F8" i="7"/>
  <c r="F9" i="7"/>
  <c r="F10" i="7"/>
  <c r="F11" i="7"/>
  <c r="F12" i="7"/>
  <c r="F13" i="7"/>
  <c r="F14" i="7"/>
  <c r="F15" i="7"/>
  <c r="F16" i="7"/>
  <c r="F17" i="7"/>
  <c r="E6" i="7"/>
  <c r="F6" i="7" s="1"/>
  <c r="E7" i="7"/>
  <c r="F7" i="7" s="1"/>
  <c r="E8" i="7"/>
  <c r="E9" i="7"/>
  <c r="E10" i="7"/>
  <c r="E11" i="7"/>
  <c r="E12" i="7"/>
  <c r="E13" i="7"/>
  <c r="E14" i="7"/>
  <c r="E15" i="7"/>
  <c r="E16" i="7"/>
  <c r="E17" i="7"/>
  <c r="F13" i="6"/>
  <c r="I13" i="6"/>
  <c r="J6" i="6"/>
  <c r="J7" i="6"/>
  <c r="J8" i="6"/>
  <c r="J9" i="6"/>
  <c r="J10" i="6"/>
  <c r="J11" i="6"/>
  <c r="J12" i="6"/>
  <c r="I6" i="6"/>
  <c r="I7" i="6"/>
  <c r="I8" i="6"/>
  <c r="I9" i="6"/>
  <c r="I10" i="6"/>
  <c r="I11" i="6"/>
  <c r="I12" i="6"/>
  <c r="I6" i="5"/>
  <c r="I7" i="5"/>
  <c r="I8" i="5"/>
  <c r="I9" i="5"/>
  <c r="I10" i="5"/>
  <c r="G10" i="5"/>
  <c r="G9" i="5"/>
  <c r="G8" i="5"/>
  <c r="G7" i="5"/>
  <c r="G6" i="5"/>
  <c r="K9" i="4"/>
  <c r="K7" i="4"/>
  <c r="K6" i="4"/>
  <c r="H6" i="4"/>
  <c r="H7" i="4"/>
  <c r="H8" i="4"/>
  <c r="H9" i="4"/>
  <c r="H10" i="4"/>
  <c r="H11" i="4"/>
  <c r="H12" i="4"/>
  <c r="G6" i="4"/>
  <c r="G7" i="4"/>
  <c r="G8" i="4"/>
  <c r="G9" i="4"/>
  <c r="G10" i="4"/>
  <c r="G11" i="4"/>
  <c r="G12" i="4"/>
  <c r="E12" i="4"/>
  <c r="E11" i="4"/>
  <c r="E10" i="4"/>
  <c r="E9" i="4"/>
  <c r="E8" i="4"/>
  <c r="E7" i="4"/>
  <c r="E6" i="4"/>
  <c r="I15" i="3"/>
  <c r="I14" i="3"/>
  <c r="I13" i="3"/>
  <c r="I12" i="3"/>
  <c r="I11" i="3"/>
  <c r="I10" i="3"/>
  <c r="I9" i="3"/>
  <c r="I8" i="3"/>
  <c r="I5" i="3"/>
  <c r="E18" i="3"/>
  <c r="B17" i="3"/>
  <c r="B16" i="3"/>
  <c r="B15" i="3"/>
  <c r="B14" i="3"/>
  <c r="B13" i="3"/>
  <c r="B12" i="3"/>
  <c r="B11" i="3"/>
  <c r="B10" i="3"/>
  <c r="B9" i="3"/>
  <c r="B8" i="3"/>
  <c r="B7" i="3"/>
  <c r="B6" i="3"/>
  <c r="H10" i="2"/>
  <c r="H9" i="2"/>
  <c r="H8" i="2"/>
  <c r="H7" i="2"/>
  <c r="H6" i="2"/>
  <c r="D22" i="2"/>
  <c r="C22" i="2"/>
  <c r="E12" i="2"/>
  <c r="E22" i="2" s="1"/>
  <c r="E13" i="2"/>
  <c r="E14" i="2"/>
  <c r="E15" i="2"/>
  <c r="E16" i="2"/>
  <c r="E17" i="2"/>
  <c r="E18" i="2"/>
  <c r="E19" i="2"/>
  <c r="E20" i="2"/>
  <c r="E21" i="2"/>
  <c r="D9" i="2"/>
  <c r="C9" i="2"/>
  <c r="E6" i="2"/>
  <c r="E9" i="2" s="1"/>
  <c r="E7" i="2"/>
  <c r="E8" i="2"/>
  <c r="K8" i="4" l="1"/>
  <c r="J11" i="3"/>
  <c r="J10" i="3"/>
  <c r="J9" i="3"/>
  <c r="J14" i="3"/>
  <c r="J12" i="3"/>
  <c r="J8" i="3"/>
  <c r="J13" i="3"/>
</calcChain>
</file>

<file path=xl/sharedStrings.xml><?xml version="1.0" encoding="utf-8"?>
<sst xmlns="http://schemas.openxmlformats.org/spreadsheetml/2006/main" count="318" uniqueCount="242">
  <si>
    <t>Buget lunar (personal sau de familie)</t>
  </si>
  <si>
    <t>Cum o folosești: scrie în coloana Planificat ce estimezi la începutul lunii și în Realizat ce s-a întâmplat. Adaugă categorii noi scriind sub ultimul rând.</t>
  </si>
  <si>
    <t>Se calculează automat: diferențele, totalurile, economiile și rata de economisire.</t>
  </si>
  <si>
    <t>Venituri</t>
  </si>
  <si>
    <t>Planificat</t>
  </si>
  <si>
    <t>Realizat</t>
  </si>
  <si>
    <t>Diferență</t>
  </si>
  <si>
    <t>Salariu</t>
  </si>
  <si>
    <t>Venituri suplimentare</t>
  </si>
  <si>
    <t>Alocații / alte venituri</t>
  </si>
  <si>
    <t>Total</t>
  </si>
  <si>
    <t>Cheltuieli</t>
  </si>
  <si>
    <t>Chirie / rată</t>
  </si>
  <si>
    <t>Utilități</t>
  </si>
  <si>
    <t>Alimente</t>
  </si>
  <si>
    <t>Transport</t>
  </si>
  <si>
    <t>Sănătate</t>
  </si>
  <si>
    <t>Copii și educație</t>
  </si>
  <si>
    <t>Timp liber</t>
  </si>
  <si>
    <t>Haine</t>
  </si>
  <si>
    <t>Abonamente</t>
  </si>
  <si>
    <t>Diverse</t>
  </si>
  <si>
    <t>Rezumat</t>
  </si>
  <si>
    <t>Total venituri (realizat)</t>
  </si>
  <si>
    <t>Total cheltuieli (realizat)</t>
  </si>
  <si>
    <t>Economii în lună</t>
  </si>
  <si>
    <t>Rata de economisire</t>
  </si>
  <si>
    <t>Categorii depășite</t>
  </si>
  <si>
    <t>Evidența cheltuielilor zilnice</t>
  </si>
  <si>
    <t>Cum o folosești: trece fiecare cheltuială în ziua în care o faci și alege categoria din listă. În dreapta alege luna pentru sumar.</t>
  </si>
  <si>
    <t>Se calculează automat: totalul pe categorii pentru luna aleasă, procentele și graficul.</t>
  </si>
  <si>
    <t>Casă</t>
  </si>
  <si>
    <t>Data</t>
  </si>
  <si>
    <t>Categorie</t>
  </si>
  <si>
    <t>Descriere</t>
  </si>
  <si>
    <t>Sumă (lei)</t>
  </si>
  <si>
    <t>Plătit cu</t>
  </si>
  <si>
    <t>Cumpărături supermarket</t>
  </si>
  <si>
    <t>Card</t>
  </si>
  <si>
    <t>Benzină</t>
  </si>
  <si>
    <t>Cinema</t>
  </si>
  <si>
    <t>Numerar</t>
  </si>
  <si>
    <t>Curent electric</t>
  </si>
  <si>
    <t>Transfer</t>
  </si>
  <si>
    <t>Piață</t>
  </si>
  <si>
    <t>Farmacie</t>
  </si>
  <si>
    <t>Produse de curățenie</t>
  </si>
  <si>
    <t>Internet și telefon</t>
  </si>
  <si>
    <t>Cadou</t>
  </si>
  <si>
    <t>Bilete tren</t>
  </si>
  <si>
    <t>Luna:</t>
  </si>
  <si>
    <t>Total lună</t>
  </si>
  <si>
    <t>% din total</t>
  </si>
  <si>
    <t>TOTAL</t>
  </si>
  <si>
    <t>Listă de sarcini (to-do)</t>
  </si>
  <si>
    <t>Cum o folosești: trece sarcina, cine o face, prioritatea și termenul. Schimbă statusul pe măsură ce lucrezi.</t>
  </si>
  <si>
    <t>Se calculează automat: zilele rămase până la termen, sarcinile întârziate (roșu) și cele gata (tăiate).</t>
  </si>
  <si>
    <t>Mare</t>
  </si>
  <si>
    <t>De făcut</t>
  </si>
  <si>
    <t>Medie</t>
  </si>
  <si>
    <t>În lucru</t>
  </si>
  <si>
    <t>Mică</t>
  </si>
  <si>
    <t>Gata</t>
  </si>
  <si>
    <t>Sarcina</t>
  </si>
  <si>
    <t>Responsabil</t>
  </si>
  <si>
    <t>Prioritate</t>
  </si>
  <si>
    <t>Termen</t>
  </si>
  <si>
    <t>Status</t>
  </si>
  <si>
    <t>Zile rămase</t>
  </si>
  <si>
    <t>Situație</t>
  </si>
  <si>
    <t>Trimite oferta către client</t>
  </si>
  <si>
    <t>Ana</t>
  </si>
  <si>
    <t>Plătește furnizorii</t>
  </si>
  <si>
    <t>Mihai</t>
  </si>
  <si>
    <t>Actualizează lista de prețuri</t>
  </si>
  <si>
    <t>Inventar lunar în magazie</t>
  </si>
  <si>
    <t>Ioana</t>
  </si>
  <si>
    <t>Programează revizia mașinii</t>
  </si>
  <si>
    <t>Vlad</t>
  </si>
  <si>
    <t>Pregătește raportul lunar</t>
  </si>
  <si>
    <t>Reînnoiește abonamentul software</t>
  </si>
  <si>
    <t>Total sarcini</t>
  </si>
  <si>
    <t>Întârziate</t>
  </si>
  <si>
    <t>Progres</t>
  </si>
  <si>
    <t>Clienți și contacte</t>
  </si>
  <si>
    <t>Cum o folosești: un rând pe contact. Notează data ultimului contact și următorul pas, ca să nu uiți de nimeni.</t>
  </si>
  <si>
    <t>Se calculează automat: zilele de la ultimul contact; contactele neatinse de peste 30 de zile apar colorate.</t>
  </si>
  <si>
    <t>Nume</t>
  </si>
  <si>
    <t>Firmă</t>
  </si>
  <si>
    <t>Telefon</t>
  </si>
  <si>
    <t>E-mail</t>
  </si>
  <si>
    <t>Oraș</t>
  </si>
  <si>
    <t>Ultimul contact</t>
  </si>
  <si>
    <t>Următorul pas</t>
  </si>
  <si>
    <t>Zile de la ultimul contact</t>
  </si>
  <si>
    <t>Andrei Popa</t>
  </si>
  <si>
    <t>Construct Nord SRL</t>
  </si>
  <si>
    <t>0722 111 222</t>
  </si>
  <si>
    <t>andrei@exemplu.ro</t>
  </si>
  <si>
    <t>Ploiești</t>
  </si>
  <si>
    <t>Trimite oferta pentru etapa 2</t>
  </si>
  <si>
    <t>Maria Ilie</t>
  </si>
  <si>
    <t>Hotel Carpați SRL</t>
  </si>
  <si>
    <t>0733 222 333</t>
  </si>
  <si>
    <t>maria@exemplu.ro</t>
  </si>
  <si>
    <t>Brașov</t>
  </si>
  <si>
    <t>Sună pentru feedback</t>
  </si>
  <si>
    <t>Dan Stoica</t>
  </si>
  <si>
    <t>Auto Service Nord SRL</t>
  </si>
  <si>
    <t>0744 333 444</t>
  </si>
  <si>
    <t>dan@exemplu.ro</t>
  </si>
  <si>
    <t>Programează întâlnire</t>
  </si>
  <si>
    <t>Irina Neagu</t>
  </si>
  <si>
    <t>Brutăria Dulce SRL</t>
  </si>
  <si>
    <t>0755 444 555</t>
  </si>
  <si>
    <t>irina@exemplu.ro</t>
  </si>
  <si>
    <t>Câmpina</t>
  </si>
  <si>
    <t>Propune contract de mentenanță</t>
  </si>
  <si>
    <t>Paul Radu</t>
  </si>
  <si>
    <t>Logistic Park SRL</t>
  </si>
  <si>
    <t>0766 555 666</t>
  </si>
  <si>
    <t>paul@exemplu.ro</t>
  </si>
  <si>
    <t>București</t>
  </si>
  <si>
    <t>Așteaptă răspuns la ofertă</t>
  </si>
  <si>
    <t>Inventar simplu (birou, magazie sau acasă)</t>
  </si>
  <si>
    <t>Cum o folosești: un rând pe articol, cu cantitatea, prețul unitar și stocul minim sub care vrei să cumperi din nou.</t>
  </si>
  <si>
    <t>Se calculează automat: valoarea fiecărui articol, valoarea totală și articolele de reaprovizionat.</t>
  </si>
  <si>
    <t>Cod</t>
  </si>
  <si>
    <t>Articol</t>
  </si>
  <si>
    <t>Locație</t>
  </si>
  <si>
    <t>Cantitate</t>
  </si>
  <si>
    <t>Preț unitar</t>
  </si>
  <si>
    <t>Stoc minim</t>
  </si>
  <si>
    <t>Valoare</t>
  </si>
  <si>
    <t>Stare</t>
  </si>
  <si>
    <t>A01</t>
  </si>
  <si>
    <t>Hârtie A4 (top)</t>
  </si>
  <si>
    <t>Birotică</t>
  </si>
  <si>
    <t>Dulap 1</t>
  </si>
  <si>
    <t>A02</t>
  </si>
  <si>
    <t>Toner imprimantă</t>
  </si>
  <si>
    <t>A03</t>
  </si>
  <si>
    <t>Laptop</t>
  </si>
  <si>
    <t>IT</t>
  </si>
  <si>
    <t>Birou 2</t>
  </si>
  <si>
    <t>A04</t>
  </si>
  <si>
    <t>Mouse wireless</t>
  </si>
  <si>
    <t>Dulap 2</t>
  </si>
  <si>
    <t>A05</t>
  </si>
  <si>
    <t>Cafea boabe 1 kg</t>
  </si>
  <si>
    <t>Consumabile</t>
  </si>
  <si>
    <t>Bucătărie</t>
  </si>
  <si>
    <t>A06</t>
  </si>
  <si>
    <t>Detergent 5 l</t>
  </si>
  <si>
    <t>Magazie</t>
  </si>
  <si>
    <t>A07</t>
  </si>
  <si>
    <t>Scaun birou</t>
  </si>
  <si>
    <t>Mobilier</t>
  </si>
  <si>
    <t>Birou 1</t>
  </si>
  <si>
    <t>Vânzări, cheltuieli și profit pe luni</t>
  </si>
  <si>
    <t>Cum o folosești: completează vânzările și cheltuielile fiecărei luni (fără TVA).</t>
  </si>
  <si>
    <t>Se calculează automat: profitul, marja, totalul anual, media lunară și graficul.</t>
  </si>
  <si>
    <t>Luna</t>
  </si>
  <si>
    <t>Vânzări</t>
  </si>
  <si>
    <t>Profit</t>
  </si>
  <si>
    <t>Marjă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</si>
  <si>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</si>
  <si>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</si>
  <si>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</si>
  <si>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</si>
  <si>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</si>
  <si>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</si>
  <si>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</si>
  <si>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</si>
  <si>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</si>
  <si>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</si>
  <si>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</si>
  <si>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</si>
  <si>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Indicatori</t>
  </si>
  <si>
    <t>Luni completate</t>
  </si>
  <si>
    <t>Media lunară a vânzărilor</t>
  </si>
  <si>
    <t>Cea mai bună lună</t>
  </si>
  <si>
    <t>Marja medie</t>
  </si>
  <si>
    <t>Catalog de prețuri cu TVA</t>
  </si>
  <si>
    <t>Cum o folosești: trece produsele cu prețul fără TVA, cota de TVA și, dacă e cazul, discountul.</t>
  </si>
  <si>
    <t>Se calculează automat: prețul cu TVA, prețul final după discount și valoarea TVA.</t>
  </si>
  <si>
    <t>Produs / serviciu</t>
  </si>
  <si>
    <t>U.M.</t>
  </si>
  <si>
    <t>Preț fără TVA</t>
  </si>
  <si>
    <t>Cota TVA</t>
  </si>
  <si>
    <t>Discount</t>
  </si>
  <si>
    <t>Preț cu TVA</t>
  </si>
  <si>
    <t>Preț final (cu discount)</t>
  </si>
  <si>
    <t>Din care TVA</t>
  </si>
  <si>
    <t>P01</t>
  </si>
  <si>
    <t>Scaun birou ergonomic</t>
  </si>
  <si>
    <t>buc</t>
  </si>
  <si>
    <t>P02</t>
  </si>
  <si>
    <t>Birou 140 cm</t>
  </si>
  <si>
    <t>P03</t>
  </si>
  <si>
    <t>Lampă LED</t>
  </si>
  <si>
    <t>P04</t>
  </si>
  <si>
    <t>Carte de specialitate</t>
  </si>
  <si>
    <t>P05</t>
  </si>
  <si>
    <t>Montaj mobilier</t>
  </si>
  <si>
    <t>oră</t>
  </si>
  <si>
    <t>P06</t>
  </si>
  <si>
    <t>cursă</t>
  </si>
  <si>
    <t>Tabele Excel gata făcute</t>
  </si>
  <si>
    <t>7 tabele cu formule, totaluri și date de exemplu. Încearcă fiecare tabel cu datele de exemplu, apoi înlocuiește-le cu ale tale.</t>
  </si>
  <si>
    <t>Tabel</t>
  </si>
  <si>
    <t>La ce folosește</t>
  </si>
  <si>
    <t>Ce se calculează automat</t>
  </si>
  <si>
    <t>Buget lunar</t>
  </si>
  <si>
    <t>bugetul personal sau al familiei</t>
  </si>
  <si>
    <t>diferențe, economii, rata de economisire</t>
  </si>
  <si>
    <t>Cheltuieli zilnice</t>
  </si>
  <si>
    <t>evidența cheltuielilor pe categorii</t>
  </si>
  <si>
    <t>totaluri pe lună și categorii, grafic circular</t>
  </si>
  <si>
    <t>Listă de sarcini</t>
  </si>
  <si>
    <t>to-do pentru tine sau pentru echipă</t>
  </si>
  <si>
    <t>zile rămase, sarcini întârziate, progres</t>
  </si>
  <si>
    <t>agendă de clienți, furnizori sau colaboratori</t>
  </si>
  <si>
    <t>zile de la ultimul contact, alertă după 30 de zile</t>
  </si>
  <si>
    <t>Inventar</t>
  </si>
  <si>
    <t>obiecte din birou, magazie sau casă</t>
  </si>
  <si>
    <t>valoare totală, articole de reaprovizionat</t>
  </si>
  <si>
    <t>Vânzări lunare</t>
  </si>
  <si>
    <t>vânzări, cheltuieli și profit pe luni</t>
  </si>
  <si>
    <t>profit, marjă, medie, cea mai bună lună, grafic</t>
  </si>
  <si>
    <t>Catalog prețuri</t>
  </si>
  <si>
    <t>listă de prețuri pentru clienți</t>
  </si>
  <si>
    <t>preț cu TVA, preț după discount, TVA inclus</t>
  </si>
  <si>
    <t>Cum folosești tabelele</t>
  </si>
  <si>
    <t>1. Uită-te mai întâi la rândul „Se calculează automat” din fiecare foaie: acolo sunt formulele; nu scrie peste ele.</t>
  </si>
  <si>
    <t>2. Testează tabelul cu datele de exemplu: schimbă o sumă și verifică dacă totalurile se modifică așa cum te aștepți.</t>
  </si>
  <si>
    <t>3. Șterge datele de exemplu (doar coloanele de completat) și introdu-le pe ale tale.</t>
  </si>
  <si>
    <t>4. Pentru un rând nou, scrie imediat sub ultimul rând: tabelul se extinde și copiază singur formulele.</t>
  </si>
  <si>
    <t>5. Folosește săgețile din antet pentru sortare și filtrare.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</si>
  <si>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</si>
  <si>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</si>
  <si>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modelexcel.ro/tabele-excel-gata-facute/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</si>
</sst>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.yyyy"/>
    <numFmt numFmtId="165" formatCode="#,#00%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556B2F"/>
      <name val="Calibri"/>
      <family val="2"/>
    </font>
    <font>
      <sz val="11"/>
      <color rgb="FF5D6B64"/>
      <name val="Calibri"/>
      <family val="2"/>
    </font>
    <font>
      <i/>
      <sz val="11"/>
      <color rgb="FF556B2F"/>
      <name val="Calibri"/>
      <family val="2"/>
    </font>
    <font>
      <b/>
      <sz val="11"/>
      <color theme="1"/>
      <name val="Calibri"/>
      <family val="2"/>
    </font>
    <font>
      <b/>
      <sz val="13"/>
      <color rgb="FF556B2F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556B2F"/>
      <name val="Calibri"/>
      <family val="2"/>
    </font>
    <font>
      <b/>
      <sz val="22"/>
      <color rgb="FF556B2F"/>
      <name val="Calibri"/>
      <family val="2"/>
    </font>
    <font>
      <i/>
      <sz val="11"/>
      <color rgb="FF5D6B64"/>
      <name val="Calibri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9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F2E2"/>
        <bgColor indexed="64"/>
      </patternFill>
    </fill>
    <fill>
      <patternFill patternType="solid">
        <fgColor rgb="FF556B2F"/>
        <bgColor indexed="64"/>
      </patternFill>
    </fill>
  </fills>
  <borders count="2">
    <border>
      <left/>
      <right/>
      <top/>
      <bottom/>
      <diagonal/>
    </border>
    <border>
      <left style="thin">
        <color rgb="FFD6DCD3"/>
      </left>
      <right style="thin">
        <color rgb="FFD6DCD3"/>
      </right>
      <top style="thin">
        <color rgb="FFD6DCD3"/>
      </top>
      <bottom style="thin">
        <color rgb="FFD6DCD3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4" fontId="5" fillId="2" borderId="1" xfId="0" applyNumberFormat="1" applyFont="1" applyFill="1" applyBorder="1"/>
    <xf numFmtId="9" fontId="5" fillId="2" borderId="1" xfId="0" applyNumberFormat="1" applyFont="1" applyFill="1" applyBorder="1"/>
    <xf numFmtId="0" fontId="5" fillId="2" borderId="1" xfId="0" applyFont="1" applyFill="1" applyBorder="1"/>
    <xf numFmtId="4" fontId="1" fillId="0" borderId="0" xfId="0" applyNumberFormat="1" applyFont="1" applyAlignment="1">
      <alignment vertical="center" wrapText="1"/>
    </xf>
    <xf numFmtId="0" fontId="7" fillId="0" borderId="0" xfId="0" applyFont="1"/>
    <xf numFmtId="164" fontId="5" fillId="2" borderId="0" xfId="0" applyNumberFormat="1" applyFont="1" applyFill="1"/>
    <xf numFmtId="0" fontId="8" fillId="3" borderId="1" xfId="0" applyFont="1" applyFill="1" applyBorder="1"/>
    <xf numFmtId="0" fontId="1" fillId="0" borderId="1" xfId="0" applyFont="1" applyBorder="1"/>
    <xf numFmtId="4" fontId="1" fillId="0" borderId="1" xfId="0" applyNumberFormat="1" applyFont="1" applyBorder="1"/>
    <xf numFmtId="9" fontId="1" fillId="0" borderId="1" xfId="0" applyNumberFormat="1" applyFont="1" applyBorder="1"/>
    <xf numFmtId="0" fontId="9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165" fontId="1" fillId="0" borderId="0" xfId="0" applyNumberFormat="1" applyFont="1"/>
    <xf numFmtId="0" fontId="5" fillId="2" borderId="1" xfId="0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9" fontId="1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3" fillId="0" borderId="1" xfId="1" applyFont="1" applyBorder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00">
    <dxf>
      <font>
        <b/>
        <i val="0"/>
        <color rgb="FFB4322A"/>
      </font>
    </dxf>
    <dxf>
      <fill>
        <patternFill>
          <bgColor rgb="FFFFE68C"/>
        </patternFill>
      </fill>
    </dxf>
    <dxf>
      <fill>
        <patternFill>
          <bgColor rgb="FFFFE68C"/>
        </patternFill>
      </fill>
    </dxf>
    <dxf>
      <font>
        <strike/>
        <color rgb="FF999999"/>
      </font>
    </dxf>
    <dxf>
      <font>
        <b/>
        <i val="0"/>
        <color rgb="FFB4322A"/>
      </font>
    </dxf>
    <dxf>
      <font>
        <b/>
        <i val="0"/>
        <color rgb="FFB4322A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#,#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Cheltuieli pe categorii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strRef>
              <c:f>'Cheltuieli zilnice'!$H$8:$H$14</c:f>
              <c:strCache>
                <c:ptCount val="7"/>
                <c:pt idx="0">
                  <c:v>Alimente</c:v>
                </c:pt>
                <c:pt idx="1">
                  <c:v>Utilități</c:v>
                </c:pt>
                <c:pt idx="2">
                  <c:v>Transport</c:v>
                </c:pt>
                <c:pt idx="3">
                  <c:v>Sănătate</c:v>
                </c:pt>
                <c:pt idx="4">
                  <c:v>Timp liber</c:v>
                </c:pt>
                <c:pt idx="5">
                  <c:v>Casă</c:v>
                </c:pt>
                <c:pt idx="6">
                  <c:v>Diverse</c:v>
                </c:pt>
              </c:strCache>
            </c:strRef>
          </c:cat>
          <c:val>
            <c:numRef>
              <c:f>'Cheltuieli zilnice'!$I$8:$I$14</c:f>
              <c:numCache>
                <c:formatCode>#,##0.00</c:formatCode>
                <c:ptCount val="7"/>
                <c:pt idx="0">
                  <c:v>733.09999999999991</c:v>
                </c:pt>
                <c:pt idx="1">
                  <c:v>281.39999999999998</c:v>
                </c:pt>
                <c:pt idx="2">
                  <c:v>298</c:v>
                </c:pt>
                <c:pt idx="3">
                  <c:v>64.3</c:v>
                </c:pt>
                <c:pt idx="4">
                  <c:v>76</c:v>
                </c:pt>
                <c:pt idx="5">
                  <c:v>58</c:v>
                </c:pt>
                <c:pt idx="6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86-4F97-96C6-08289F7DB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Vânzări și cheltuieli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'Vânzări lunare'!$C$5</c:f>
              <c:strCache>
                <c:ptCount val="1"/>
                <c:pt idx="0">
                  <c:v>Vânzări</c:v>
                </c:pt>
              </c:strCache>
            </c:strRef>
          </c:tx>
          <c:invertIfNegative val="0"/>
          <c:cat>
            <c:strRef>
              <c:f>'Vânzări lunare'!$B$6:$B$17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'Vânzări lunare'!$C$6:$C$17</c:f>
              <c:numCache>
                <c:formatCode>#,##0</c:formatCode>
                <c:ptCount val="12"/>
                <c:pt idx="0">
                  <c:v>42000</c:v>
                </c:pt>
                <c:pt idx="1">
                  <c:v>38500</c:v>
                </c:pt>
                <c:pt idx="2">
                  <c:v>45200</c:v>
                </c:pt>
                <c:pt idx="3">
                  <c:v>51000</c:v>
                </c:pt>
                <c:pt idx="4">
                  <c:v>47800</c:v>
                </c:pt>
                <c:pt idx="5">
                  <c:v>55300</c:v>
                </c:pt>
                <c:pt idx="6">
                  <c:v>49600</c:v>
                </c:pt>
                <c:pt idx="7">
                  <c:v>41200</c:v>
                </c:pt>
                <c:pt idx="8">
                  <c:v>53800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51-48F4-B8A2-3D16C8C03FB9}"/>
            </c:ext>
          </c:extLst>
        </c:ser>
        <c:ser>
          <c:idx val="1"/>
          <c:order val="1"/>
          <c:tx>
            <c:strRef>
              <c:f>'Vânzări lunare'!$D$5</c:f>
              <c:strCache>
                <c:ptCount val="1"/>
                <c:pt idx="0">
                  <c:v>Cheltuieli</c:v>
                </c:pt>
              </c:strCache>
            </c:strRef>
          </c:tx>
          <c:invertIfNegative val="0"/>
          <c:cat>
            <c:strRef>
              <c:f>'Vânzări lunare'!$B$6:$B$17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'Vânzări lunare'!$D$6:$D$17</c:f>
              <c:numCache>
                <c:formatCode>#,##0</c:formatCode>
                <c:ptCount val="12"/>
                <c:pt idx="0">
                  <c:v>31000</c:v>
                </c:pt>
                <c:pt idx="1">
                  <c:v>29400</c:v>
                </c:pt>
                <c:pt idx="2">
                  <c:v>33800</c:v>
                </c:pt>
                <c:pt idx="3">
                  <c:v>36100</c:v>
                </c:pt>
                <c:pt idx="4">
                  <c:v>35200</c:v>
                </c:pt>
                <c:pt idx="5">
                  <c:v>38900</c:v>
                </c:pt>
                <c:pt idx="6">
                  <c:v>36700</c:v>
                </c:pt>
                <c:pt idx="7">
                  <c:v>33100</c:v>
                </c:pt>
                <c:pt idx="8">
                  <c:v>37900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51-48F4-B8A2-3D16C8C03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422408"/>
        <c:axId val="582415208"/>
      </c:barChart>
      <c:catAx>
        <c:axId val="58242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2415208"/>
        <c:crosses val="autoZero"/>
        <c:auto val="1"/>
        <c:lblAlgn val="ctr"/>
        <c:lblOffset val="100"/>
        <c:noMultiLvlLbl val="0"/>
      </c:catAx>
      <c:valAx>
        <c:axId val="582415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82422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0</xdr:rowOff>
    </xdr:from>
    <xdr:to>
      <xdr:col>12</xdr:col>
      <xdr:colOff>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13BDDE5-0D96-1CE3-2A87-A063A90303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13</xdr:col>
      <xdr:colOff>0</xdr:colOff>
      <xdr:row>24</xdr:row>
      <xdr:rowOff>127000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57C60E5-1635-6C29-21BE-F03491524C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7D8FB2-DACB-4743-A987-B030601DB3A4}" name="TblVenituri" displayName="TblVenituri" ref="B5:E9" totalsRowCount="1" headerRowDxfId="99" dataDxfId="98">
  <autoFilter ref="B5:E8" xr:uid="{A07D8FB2-DACB-4743-A987-B030601DB3A4}"/>
  <tableColumns count="4">
    <tableColumn id="1" xr3:uid="{32C8D0A9-3B1D-49BF-92DB-D2531F3F502B}" name="Venituri" totalsRowLabel="Total" dataDxfId="97" totalsRowDxfId="96"/>
    <tableColumn id="2" xr3:uid="{E2D67799-ECD4-4311-97AA-EE3CB11749DF}" name="Planificat" totalsRowFunction="sum" dataDxfId="95" totalsRowDxfId="94"/>
    <tableColumn id="3" xr3:uid="{1FC8F441-E0D3-4ADD-82EB-D17551F0163E}" name="Realizat" totalsRowFunction="sum" dataDxfId="93" totalsRowDxfId="92"/>
    <tableColumn id="4" xr3:uid="{BD4CC5C2-B90F-401B-A854-83878C090CCA}" name="Diferență" totalsRowFunction="sum" dataDxfId="91" totalsRowDxfId="90">
      <calculatedColumnFormula>TblVenituri[[#This Row],[Realizat]]-TblVenituri[[#This Row],[Planificat]]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C10E80-27DD-47F0-8B66-DC6363B0BF93}" name="TblCheltuieli" displayName="TblCheltuieli" ref="B11:E22" totalsRowCount="1" headerRowDxfId="89" dataDxfId="88">
  <autoFilter ref="B11:E21" xr:uid="{36C10E80-27DD-47F0-8B66-DC6363B0BF93}"/>
  <tableColumns count="4">
    <tableColumn id="1" xr3:uid="{D0010D42-3817-41F6-A3A5-21CD476C976A}" name="Cheltuieli" totalsRowLabel="Total" dataDxfId="87" totalsRowDxfId="86"/>
    <tableColumn id="2" xr3:uid="{E7AB2108-70A8-48EF-8219-D39EE498EEFE}" name="Planificat" totalsRowFunction="sum" dataDxfId="85" totalsRowDxfId="84"/>
    <tableColumn id="3" xr3:uid="{1375AF2B-3A75-4182-8972-D127E08DB03A}" name="Realizat" totalsRowFunction="sum" dataDxfId="83" totalsRowDxfId="82"/>
    <tableColumn id="4" xr3:uid="{2EB90E1B-2E95-47C3-B59C-180A1C80206F}" name="Diferență" totalsRowFunction="sum" dataDxfId="81" totalsRowDxfId="80">
      <calculatedColumnFormula>TblCheltuieli[[#This Row],[Planificat]]-TblCheltuieli[[#This Row],[Realizat]]</calculatedColumnFormula>
    </tableColumn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A75E16-DEA8-44EA-80D8-AE92E246D2C9}" name="TblCheltuieliZilnice" displayName="TblCheltuieliZilnice" ref="B5:F18" totalsRowCount="1" headerRowDxfId="79" dataDxfId="78">
  <autoFilter ref="B5:F17" xr:uid="{83A75E16-DEA8-44EA-80D8-AE92E246D2C9}"/>
  <tableColumns count="5">
    <tableColumn id="1" xr3:uid="{B4411FA9-0E11-4199-A9E9-0FE9A9A1D061}" name="Data" totalsRowLabel="Total" dataDxfId="77" totalsRowDxfId="76"/>
    <tableColumn id="2" xr3:uid="{A6E5915B-64E6-4AE1-A5BD-704C16193D4C}" name="Categorie" dataDxfId="75" totalsRowDxfId="74"/>
    <tableColumn id="3" xr3:uid="{07491D1F-2FA0-40F1-AB0D-C3328DA01EBF}" name="Descriere" dataDxfId="73" totalsRowDxfId="72"/>
    <tableColumn id="4" xr3:uid="{764D29F0-CDEA-4A0B-8D03-A4D8F1067AAB}" name="Sumă (lei)" totalsRowFunction="sum" dataDxfId="71" totalsRowDxfId="70"/>
    <tableColumn id="5" xr3:uid="{3A4F1BE2-C68F-4543-949E-1C244E1D3735}" name="Plătit cu" dataDxfId="69" totalsRowDxfId="6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14EDEF-48BA-4F42-BFA1-BCC3A6295C39}" name="TblSarcini" displayName="TblSarcini" ref="B5:H12" totalsRowShown="0" headerRowDxfId="67" dataDxfId="66">
  <autoFilter ref="B5:H12" xr:uid="{4B14EDEF-48BA-4F42-BFA1-BCC3A6295C39}"/>
  <tableColumns count="7">
    <tableColumn id="1" xr3:uid="{D1A0C7DC-9557-4392-876D-AA126183F96B}" name="Sarcina" dataDxfId="65"/>
    <tableColumn id="2" xr3:uid="{EA85B098-D58A-48B5-82DE-BA20711582E0}" name="Responsabil" dataDxfId="64"/>
    <tableColumn id="3" xr3:uid="{CA3B9289-9CA7-43D0-B9CD-5B48642CB1EF}" name="Prioritate" dataDxfId="63"/>
    <tableColumn id="4" xr3:uid="{EF0DC433-BE13-4C11-9783-1F58B4EBB2A3}" name="Termen" dataDxfId="62"/>
    <tableColumn id="5" xr3:uid="{AEF218C9-CA1B-498C-809F-3B4C9A09F307}" name="Status" dataDxfId="61"/>
    <tableColumn id="6" xr3:uid="{DF1EBE39-36B6-429B-8399-381D27F9D662}" name="Zile rămase" dataDxfId="60">
      <calculatedColumnFormula>IF(TblSarcini[[#This Row],[Status]]="Gata","",TblSarcini[[#This Row],[Termen]]-TODAY())</calculatedColumnFormula>
    </tableColumn>
    <tableColumn id="7" xr3:uid="{90F0664B-CAD9-48D3-88E0-2547943E0A16}" name="Situație" dataDxfId="59">
      <calculatedColumnFormula>IF(TblSarcini[[#This Row],[Status]]="Gata","✔ Gata",IF(TblSarcini[[#This Row],[Termen]]&lt;TODAY(),"Întârziată",IF(TblSarcini[[#This Row],[Termen]]-TODAY()&lt;=3,"Termen apropiat","În grafic")))</calculatedColumnFormula>
    </tableColumn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FDF5B1-0BEE-44EB-9AD2-6DB779E3652B}" name="TblClienti" displayName="TblClienti" ref="B5:I10" totalsRowShown="0" headerRowDxfId="58" dataDxfId="57">
  <autoFilter ref="B5:I10" xr:uid="{83FDF5B1-0BEE-44EB-9AD2-6DB779E3652B}"/>
  <tableColumns count="8">
    <tableColumn id="1" xr3:uid="{A3DAFA47-7300-4600-9D99-673088641D60}" name="Nume" dataDxfId="56"/>
    <tableColumn id="2" xr3:uid="{541B45BE-61F3-428F-8D7F-99F49198E0A7}" name="Firmă" dataDxfId="55"/>
    <tableColumn id="3" xr3:uid="{D6793101-5131-4F9A-87DB-FFFD76076EBA}" name="Telefon" dataDxfId="54"/>
    <tableColumn id="4" xr3:uid="{D20DCBF2-8002-4623-A0C8-D3093AA1A451}" name="E-mail" dataDxfId="53"/>
    <tableColumn id="5" xr3:uid="{BA28BBAA-BC53-459F-97A5-F8996A838D44}" name="Oraș" dataDxfId="52"/>
    <tableColumn id="6" xr3:uid="{8E39F8D5-078B-4695-B657-467262150499}" name="Ultimul contact" dataDxfId="51"/>
    <tableColumn id="7" xr3:uid="{393F83C3-D809-4F94-9A66-5DAB22E649A2}" name="Următorul pas" dataDxfId="50"/>
    <tableColumn id="8" xr3:uid="{990C9280-0F65-41A4-8CE0-CC8004233E24}" name="Zile de la ultimul contact" dataDxfId="49">
      <calculatedColumnFormula>IF(TblClienti[[#This Row],[Ultimul contact]]="","",TODAY()-TblClienti[[#This Row],[Ultimul contact]])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F2879EB-D58A-4E3C-879B-05DEBB8C33B8}" name="TblInventar" displayName="TblInventar" ref="B5:J13" totalsRowCount="1" headerRowDxfId="48" dataDxfId="47">
  <autoFilter ref="B5:J12" xr:uid="{DF2879EB-D58A-4E3C-879B-05DEBB8C33B8}"/>
  <tableColumns count="9">
    <tableColumn id="1" xr3:uid="{5016604B-0C31-40FF-A9C3-1BE4AB9172D6}" name="Cod" totalsRowLabel="Total" dataDxfId="46" totalsRowDxfId="45"/>
    <tableColumn id="2" xr3:uid="{C44D3571-5705-4053-926F-EF716950BD72}" name="Articol" dataDxfId="44" totalsRowDxfId="43"/>
    <tableColumn id="3" xr3:uid="{EF490577-1589-48C3-8B3E-77A1661BF34B}" name="Categorie" dataDxfId="42" totalsRowDxfId="41"/>
    <tableColumn id="4" xr3:uid="{3917D8AC-1D78-4F0F-AA72-22CF8C629F41}" name="Locație" dataDxfId="40" totalsRowDxfId="39"/>
    <tableColumn id="5" xr3:uid="{2C7769F1-BF43-4C00-9128-C63BC4637686}" name="Cantitate" totalsRowFunction="sum" dataDxfId="38" totalsRowDxfId="37"/>
    <tableColumn id="6" xr3:uid="{8BAA1379-711B-4579-AACA-B06043EB5321}" name="Preț unitar" dataDxfId="36" totalsRowDxfId="35"/>
    <tableColumn id="7" xr3:uid="{06EDCDF1-2D5E-4B80-BAB6-F915D4D29933}" name="Stoc minim" dataDxfId="34" totalsRowDxfId="33"/>
    <tableColumn id="8" xr3:uid="{5AC16972-253C-4118-8866-002B1D6A7540}" name="Valoare" totalsRowFunction="sum" dataDxfId="32" totalsRowDxfId="31">
      <calculatedColumnFormula>TblInventar[[#This Row],[Cantitate]]*TblInventar[[#This Row],[Preț unitar]]</calculatedColumnFormula>
    </tableColumn>
    <tableColumn id="9" xr3:uid="{C4F2E155-6655-4354-B436-CB5D6871DCED}" name="Stare" dataDxfId="30" totalsRowDxfId="29">
      <calculatedColumnFormula>IF(TblInventar[[#This Row],[Stoc minim]]="","",IF(TblInventar[[#This Row],[Cantitate]]&lt;TblInventar[[#This Row],[Stoc minim]],"Reaprovizionează","OK"))</calculatedColumnFormula>
    </tableColumn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751F0D-D14C-4733-B1EC-4E867D36FED2}" name="TblVanzari" displayName="TblVanzari" ref="B5:F18" totalsRowCount="1" headerRowDxfId="28" dataDxfId="27">
  <autoFilter ref="B5:F17" xr:uid="{D4751F0D-D14C-4733-B1EC-4E867D36FED2}"/>
  <tableColumns count="5">
    <tableColumn id="1" xr3:uid="{2D9E8D19-7B68-43CE-AEBC-68CE02348C09}" name="Luna" totalsRowLabel="Total" dataDxfId="26" totalsRowDxfId="25"/>
    <tableColumn id="2" xr3:uid="{77476FE2-AD6C-4AD8-B7A7-7C6542F6E3F7}" name="Vânzări" totalsRowFunction="sum" dataDxfId="24" totalsRowDxfId="23"/>
    <tableColumn id="3" xr3:uid="{08E2B6B4-BA00-456E-961D-4AC7BE74229C}" name="Cheltuieli" totalsRowFunction="sum" dataDxfId="22" totalsRowDxfId="21"/>
    <tableColumn id="4" xr3:uid="{6C015C87-2110-448D-8309-B36B053F3C40}" name="Profit" totalsRowFunction="sum" dataDxfId="20" totalsRowDxfId="19">
      <calculatedColumnFormula>IF(AND(TblVanzari[[#This Row],[Vânzări]]="",TblVanzari[[#This Row],[Cheltuieli]]=""),"",N(TblVanzari[[#This Row],[Vânzări]])-N(TblVanzari[[#This Row],[Cheltuieli]]))</calculatedColumnFormula>
    </tableColumn>
    <tableColumn id="5" xr3:uid="{DA379FFD-44E6-4E9E-9AAA-B8A77A5CAC32}" name="Marjă" dataDxfId="18" totalsRowDxfId="17">
      <calculatedColumnFormula>IF(N(TblVanzari[[#This Row],[Vânzări]])=0,"",TblVanzari[[#This Row],[Profit]]/TblVanzari[[#This Row],[Vânzări]])</calculatedColumnFormula>
    </tableColumn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73A923-EAAF-4AF9-BE8B-2E0A15936EE8}" name="TblPreturi" displayName="TblPreturi" ref="B5:J11" totalsRowShown="0" headerRowDxfId="16" dataDxfId="15">
  <autoFilter ref="B5:J11" xr:uid="{FC73A923-EAAF-4AF9-BE8B-2E0A15936EE8}"/>
  <tableColumns count="9">
    <tableColumn id="1" xr3:uid="{E16630CB-9175-4475-8077-9D1D003BD853}" name="Cod" dataDxfId="14"/>
    <tableColumn id="2" xr3:uid="{B58F6AD7-5C7C-4F8A-8697-0B9E7224F2DD}" name="Produs / serviciu" dataDxfId="13"/>
    <tableColumn id="3" xr3:uid="{F17BBC9D-FC34-4DE2-9680-F9F6D16A02C9}" name="U.M." dataDxfId="12"/>
    <tableColumn id="4" xr3:uid="{95A3E42E-997D-404D-B7DF-D7310C574E79}" name="Preț fără TVA" dataDxfId="11"/>
    <tableColumn id="5" xr3:uid="{0CF1F5AA-3D82-40C6-9F47-A0496D3D69C3}" name="Cota TVA" dataDxfId="10"/>
    <tableColumn id="6" xr3:uid="{75BC4831-BCFA-4FF6-896C-0958430A331C}" name="Discount" dataDxfId="9"/>
    <tableColumn id="7" xr3:uid="{99A35914-69F9-47E2-8A33-3E6A7670074B}" name="Preț cu TVA" dataDxfId="8">
      <calculatedColumnFormula>ROUND(TblPreturi[[#This Row],[Preț fără TVA]]*(1+TblPreturi[[#This Row],[Cota TVA]]),2)</calculatedColumnFormula>
    </tableColumn>
    <tableColumn id="8" xr3:uid="{E01D8DC3-157F-4A7F-9CB1-B7380D63A4EF}" name="Preț final (cu discount)" dataDxfId="7">
      <calculatedColumnFormula>ROUND(TblPreturi[[#This Row],[Preț cu TVA]]*(1-N(TblPreturi[[#This Row],[Discount]])),2)</calculatedColumnFormula>
    </tableColumn>
    <tableColumn id="9" xr3:uid="{4677FE72-FAFF-4D79-AA58-5A0F648EEDC1}" name="Din care TVA" dataDxfId="6">
      <calculatedColumnFormula>ROUND(TblPreturi[[#This Row],[Preț final (cu discount)]]-TblPreturi[[#This Row],[Preț final (cu discount)]]/(1+TblPreturi[[#This Row],[Cota TVA]]),2)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tabele-excel-gata-facut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2119-265F-4FBC-972F-7A452E635064}">
  <dimension ref="B1:ZZ22"/>
  <sheetViews>
    <sheetView showGridLines="0" tabSelected="1" workbookViewId="0"/>
  </sheetViews>
  <sheetFormatPr baseColWidth="10" defaultRowHeight="15" x14ac:dyDescent="0.25"/>
  <cols>
    <col min="1" max="1" width="2.7109375" style="1" customWidth="1"/>
    <col min="2" max="2" width="24.7109375" style="1" customWidth="1"/>
    <col min="3" max="3" width="44.7109375" style="1" customWidth="1"/>
    <col min="4" max="4" width="50.7109375" style="1" customWidth="1"/>
    <col min="5" max="16384" width="11.42578125" style="1"/>
  </cols>
  <sheetData>
    <row r="1" spans="2:702" ht="28.5" x14ac:dyDescent="0.45">
      <c r="B1" s="32" t="s">
        <v>208</v>
      </c>
      <c r="ZZ1"/>
    </row>
    <row r="2" spans="2:702" x14ac:dyDescent="0.25">
      <c r="B2" s="33" t="s">
        <v>209</v>
      </c>
    </row>
    <row r="4" spans="2:702" x14ac:dyDescent="0.25">
      <c r="B4" s="17" t="s">
        <v>210</v>
      </c>
      <c r="C4" s="17" t="s">
        <v>211</v>
      </c>
      <c r="D4" s="17" t="s">
        <v>212</v>
      </c>
    </row>
    <row r="5" spans="2:702" x14ac:dyDescent="0.25">
      <c r="B5" s="34" t="s">
        <v>213</v>
      </c>
      <c r="C5" s="18" t="s">
        <v>214</v>
      </c>
      <c r="D5" s="18" t="s">
        <v>215</v>
      </c>
    </row>
    <row r="6" spans="2:702" x14ac:dyDescent="0.25">
      <c r="B6" s="34" t="s">
        <v>216</v>
      </c>
      <c r="C6" s="18" t="s">
        <v>217</v>
      </c>
      <c r="D6" s="18" t="s">
        <v>218</v>
      </c>
    </row>
    <row r="7" spans="2:702" x14ac:dyDescent="0.25">
      <c r="B7" s="34" t="s">
        <v>219</v>
      </c>
      <c r="C7" s="18" t="s">
        <v>220</v>
      </c>
      <c r="D7" s="18" t="s">
        <v>221</v>
      </c>
    </row>
    <row r="8" spans="2:702" x14ac:dyDescent="0.25">
      <c r="B8" s="34" t="s">
        <v>84</v>
      </c>
      <c r="C8" s="18" t="s">
        <v>222</v>
      </c>
      <c r="D8" s="18" t="s">
        <v>223</v>
      </c>
    </row>
    <row r="9" spans="2:702" x14ac:dyDescent="0.25">
      <c r="B9" s="34" t="s">
        <v>224</v>
      </c>
      <c r="C9" s="18" t="s">
        <v>225</v>
      </c>
      <c r="D9" s="18" t="s">
        <v>226</v>
      </c>
    </row>
    <row r="10" spans="2:702" x14ac:dyDescent="0.25">
      <c r="B10" s="34" t="s">
        <v>227</v>
      </c>
      <c r="C10" s="18" t="s">
        <v>228</v>
      </c>
      <c r="D10" s="18" t="s">
        <v>229</v>
      </c>
    </row>
    <row r="11" spans="2:702" x14ac:dyDescent="0.25">
      <c r="B11" s="34" t="s">
        <v>230</v>
      </c>
      <c r="C11" s="18" t="s">
        <v>231</v>
      </c>
      <c r="D11" s="18" t="s">
        <v>232</v>
      </c>
    </row>
    <row r="13" spans="2:702" ht="17.25" x14ac:dyDescent="0.3">
      <c r="B13" s="8" t="s">
        <v>233</v>
      </c>
    </row>
    <row r="14" spans="2:702" x14ac:dyDescent="0.25">
      <c r="B14" s="1" t="s">
        <v>234</v>
      </c>
    </row>
    <row r="15" spans="2:702" x14ac:dyDescent="0.25">
      <c r="B15" s="1" t="s">
        <v>235</v>
      </c>
    </row>
    <row r="16" spans="2:702" x14ac:dyDescent="0.25">
      <c r="B16" s="1" t="s">
        <v>236</v>
      </c>
    </row>
    <row r="17" spans="2:2" x14ac:dyDescent="0.25">
      <c r="B17" s="1" t="s">
        <v>237</v>
      </c>
    </row>
    <row r="18" spans="2:2" x14ac:dyDescent="0.25">
      <c r="B18" s="1" t="s">
        <v>238</v>
      </c>
    </row>
    <row r="20" spans="2:2" x14ac:dyDescent="0.25">
      <c r="B20" s="35" t="s">
        <v>239</v>
      </c>
    </row>
    <row r="21" spans="2:2" x14ac:dyDescent="0.25">
      <c r="B21" s="36" t="s">
        <v>240</v>
      </c>
    </row>
    <row r="22" spans="2:2" x14ac:dyDescent="0.25">
      <c r="B22" s="37" t="s">
        <v>241</v>
      </c>
    </row>
  </sheetData>
  <hyperlinks>
    <hyperlink ref="B5" location="'Buget lunar'!A1" display="Buget lunar" xr:uid="{D684511F-C30D-46BF-B93E-A8081AC006EF}"/>
    <hyperlink ref="B6" location="'Cheltuieli zilnice'!A1" display="Cheltuieli zilnice" xr:uid="{33809DA8-5562-483D-B22C-4BBB36381ED1}"/>
    <hyperlink ref="B7" location="'Listă de sarcini'!A1" display="Listă de sarcini" xr:uid="{DAEDDF02-F9D4-4B64-ACEB-BB04DE4A3471}"/>
    <hyperlink ref="B8" location="'Clienți și contacte'!A1" display="Clienți și contacte" xr:uid="{0B5CF361-A95F-41F6-943B-1B095A9387D6}"/>
    <hyperlink ref="B9" location="'Inventar'!A1" display="Inventar" xr:uid="{D4A49FB2-455F-4503-B6A8-5B501D462050}"/>
    <hyperlink ref="B10" location="'Vânzări lunare'!A1" display="Vânzări lunare" xr:uid="{98FE8E42-A396-433D-9DBD-D1B1A88A06E1}"/>
    <hyperlink ref="B11" location="'Catalog prețuri'!A1" display="Catalog prețuri" xr:uid="{387210F0-90CF-4AA0-A54C-6AFDFE95FB99}"/>
    <hyperlink ref="B22" r:id="rId1" tooltip="Instrucțiuni și alte modele gratuite" xr:uid="{D463F3A5-E85F-4904-B30F-3EBF6EDF43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4587-3453-48EE-9ACF-843439AB1BCE}">
  <dimension ref="B1:H22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26.7109375" style="1" customWidth="1"/>
    <col min="3" max="5" width="13.7109375" style="1" customWidth="1"/>
    <col min="6" max="6" width="3.7109375" style="1" customWidth="1"/>
    <col min="7" max="7" width="28.7109375" style="1" customWidth="1"/>
    <col min="8" max="8" width="14.7109375" style="1" customWidth="1"/>
    <col min="9" max="16384" width="11.42578125" style="1"/>
  </cols>
  <sheetData>
    <row r="1" spans="2:8" ht="23.25" x14ac:dyDescent="0.35">
      <c r="B1" s="3" t="s">
        <v>0</v>
      </c>
    </row>
    <row r="2" spans="2:8" x14ac:dyDescent="0.25">
      <c r="B2" s="4" t="s">
        <v>1</v>
      </c>
    </row>
    <row r="3" spans="2:8" x14ac:dyDescent="0.25">
      <c r="B3" s="5" t="s">
        <v>2</v>
      </c>
    </row>
    <row r="5" spans="2:8" ht="30" customHeight="1" x14ac:dyDescent="0.3">
      <c r="B5" s="6" t="s">
        <v>3</v>
      </c>
      <c r="C5" s="6" t="s">
        <v>4</v>
      </c>
      <c r="D5" s="6" t="s">
        <v>5</v>
      </c>
      <c r="E5" s="6" t="s">
        <v>6</v>
      </c>
      <c r="G5" s="8" t="s">
        <v>22</v>
      </c>
    </row>
    <row r="6" spans="2:8" x14ac:dyDescent="0.25">
      <c r="B6" s="1" t="s">
        <v>7</v>
      </c>
      <c r="C6" s="9">
        <v>6200</v>
      </c>
      <c r="D6" s="9">
        <v>6200</v>
      </c>
      <c r="E6" s="9">
        <f>TblVenituri[[#This Row],[Realizat]]-TblVenituri[[#This Row],[Planificat]]</f>
        <v>0</v>
      </c>
      <c r="G6" s="10" t="s">
        <v>23</v>
      </c>
      <c r="H6" s="11">
        <f>SUM(TblVenituri[Realizat])</f>
        <v>7150</v>
      </c>
    </row>
    <row r="7" spans="2:8" x14ac:dyDescent="0.25">
      <c r="B7" s="1" t="s">
        <v>8</v>
      </c>
      <c r="C7" s="9">
        <v>800</v>
      </c>
      <c r="D7" s="9">
        <v>650</v>
      </c>
      <c r="E7" s="9">
        <f>TblVenituri[[#This Row],[Realizat]]-TblVenituri[[#This Row],[Planificat]]</f>
        <v>-150</v>
      </c>
      <c r="G7" s="10" t="s">
        <v>24</v>
      </c>
      <c r="H7" s="11">
        <f>SUM(TblCheltuieli[Realizat])</f>
        <v>6585</v>
      </c>
    </row>
    <row r="8" spans="2:8" x14ac:dyDescent="0.25">
      <c r="B8" s="1" t="s">
        <v>9</v>
      </c>
      <c r="C8" s="9">
        <v>300</v>
      </c>
      <c r="D8" s="9">
        <v>300</v>
      </c>
      <c r="E8" s="9">
        <f>TblVenituri[[#This Row],[Realizat]]-TblVenituri[[#This Row],[Planificat]]</f>
        <v>0</v>
      </c>
      <c r="G8" s="10" t="s">
        <v>25</v>
      </c>
      <c r="H8" s="11">
        <f>H6-H7</f>
        <v>565</v>
      </c>
    </row>
    <row r="9" spans="2:8" x14ac:dyDescent="0.25">
      <c r="B9" s="1" t="s">
        <v>10</v>
      </c>
      <c r="C9" s="9">
        <f>SUBTOTAL(109,TblVenituri[Planificat])</f>
        <v>7300</v>
      </c>
      <c r="D9" s="9">
        <f>SUBTOTAL(109,TblVenituri[Realizat])</f>
        <v>7150</v>
      </c>
      <c r="E9" s="9">
        <f>SUBTOTAL(109,TblVenituri[Diferență])</f>
        <v>-150</v>
      </c>
      <c r="G9" s="10" t="s">
        <v>26</v>
      </c>
      <c r="H9" s="12">
        <f>IF(H6=0,"",H8/H6)</f>
        <v>7.9020979020979015E-2</v>
      </c>
    </row>
    <row r="10" spans="2:8" x14ac:dyDescent="0.25">
      <c r="C10" s="9"/>
      <c r="D10" s="9"/>
      <c r="E10" s="9"/>
      <c r="G10" s="10" t="s">
        <v>27</v>
      </c>
      <c r="H10" s="13">
        <f>COUNTIF(TblCheltuieli[Diferență],"&lt;0")</f>
        <v>5</v>
      </c>
    </row>
    <row r="11" spans="2:8" ht="30" customHeight="1" x14ac:dyDescent="0.25">
      <c r="B11" s="6" t="s">
        <v>11</v>
      </c>
      <c r="C11" s="14" t="s">
        <v>4</v>
      </c>
      <c r="D11" s="14" t="s">
        <v>5</v>
      </c>
      <c r="E11" s="14" t="s">
        <v>6</v>
      </c>
    </row>
    <row r="12" spans="2:8" x14ac:dyDescent="0.25">
      <c r="B12" s="1" t="s">
        <v>12</v>
      </c>
      <c r="C12" s="9">
        <v>2100</v>
      </c>
      <c r="D12" s="9">
        <v>2100</v>
      </c>
      <c r="E12" s="9">
        <f>TblCheltuieli[[#This Row],[Planificat]]-TblCheltuieli[[#This Row],[Realizat]]</f>
        <v>0</v>
      </c>
    </row>
    <row r="13" spans="2:8" x14ac:dyDescent="0.25">
      <c r="B13" s="1" t="s">
        <v>13</v>
      </c>
      <c r="C13" s="9">
        <v>650</v>
      </c>
      <c r="D13" s="9">
        <v>712</v>
      </c>
      <c r="E13" s="9">
        <f>TblCheltuieli[[#This Row],[Planificat]]-TblCheltuieli[[#This Row],[Realizat]]</f>
        <v>-62</v>
      </c>
    </row>
    <row r="14" spans="2:8" x14ac:dyDescent="0.25">
      <c r="B14" s="1" t="s">
        <v>14</v>
      </c>
      <c r="C14" s="9">
        <v>1500</v>
      </c>
      <c r="D14" s="9">
        <v>1648</v>
      </c>
      <c r="E14" s="9">
        <f>TblCheltuieli[[#This Row],[Planificat]]-TblCheltuieli[[#This Row],[Realizat]]</f>
        <v>-148</v>
      </c>
    </row>
    <row r="15" spans="2:8" x14ac:dyDescent="0.25">
      <c r="B15" s="1" t="s">
        <v>15</v>
      </c>
      <c r="C15" s="9">
        <v>450</v>
      </c>
      <c r="D15" s="9">
        <v>390</v>
      </c>
      <c r="E15" s="9">
        <f>TblCheltuieli[[#This Row],[Planificat]]-TblCheltuieli[[#This Row],[Realizat]]</f>
        <v>60</v>
      </c>
    </row>
    <row r="16" spans="2:8" x14ac:dyDescent="0.25">
      <c r="B16" s="1" t="s">
        <v>16</v>
      </c>
      <c r="C16" s="9">
        <v>200</v>
      </c>
      <c r="D16" s="9">
        <v>120</v>
      </c>
      <c r="E16" s="9">
        <f>TblCheltuieli[[#This Row],[Planificat]]-TblCheltuieli[[#This Row],[Realizat]]</f>
        <v>80</v>
      </c>
    </row>
    <row r="17" spans="2:5" x14ac:dyDescent="0.25">
      <c r="B17" s="1" t="s">
        <v>17</v>
      </c>
      <c r="C17" s="9">
        <v>500</v>
      </c>
      <c r="D17" s="9">
        <v>540</v>
      </c>
      <c r="E17" s="9">
        <f>TblCheltuieli[[#This Row],[Planificat]]-TblCheltuieli[[#This Row],[Realizat]]</f>
        <v>-40</v>
      </c>
    </row>
    <row r="18" spans="2:5" x14ac:dyDescent="0.25">
      <c r="B18" s="1" t="s">
        <v>18</v>
      </c>
      <c r="C18" s="9">
        <v>400</v>
      </c>
      <c r="D18" s="9">
        <v>515</v>
      </c>
      <c r="E18" s="9">
        <f>TblCheltuieli[[#This Row],[Planificat]]-TblCheltuieli[[#This Row],[Realizat]]</f>
        <v>-115</v>
      </c>
    </row>
    <row r="19" spans="2:5" x14ac:dyDescent="0.25">
      <c r="B19" s="1" t="s">
        <v>19</v>
      </c>
      <c r="C19" s="9">
        <v>250</v>
      </c>
      <c r="D19" s="9">
        <v>180</v>
      </c>
      <c r="E19" s="9">
        <f>TblCheltuieli[[#This Row],[Planificat]]-TblCheltuieli[[#This Row],[Realizat]]</f>
        <v>70</v>
      </c>
    </row>
    <row r="20" spans="2:5" x14ac:dyDescent="0.25">
      <c r="B20" s="1" t="s">
        <v>20</v>
      </c>
      <c r="C20" s="9">
        <v>120</v>
      </c>
      <c r="D20" s="9">
        <v>120</v>
      </c>
      <c r="E20" s="9">
        <f>TblCheltuieli[[#This Row],[Planificat]]-TblCheltuieli[[#This Row],[Realizat]]</f>
        <v>0</v>
      </c>
    </row>
    <row r="21" spans="2:5" x14ac:dyDescent="0.25">
      <c r="B21" s="1" t="s">
        <v>21</v>
      </c>
      <c r="C21" s="9">
        <v>200</v>
      </c>
      <c r="D21" s="9">
        <v>260</v>
      </c>
      <c r="E21" s="9">
        <f>TblCheltuieli[[#This Row],[Planificat]]-TblCheltuieli[[#This Row],[Realizat]]</f>
        <v>-60</v>
      </c>
    </row>
    <row r="22" spans="2:5" x14ac:dyDescent="0.25">
      <c r="B22" s="1" t="s">
        <v>10</v>
      </c>
      <c r="C22" s="9">
        <f>SUBTOTAL(109,TblCheltuieli[Planificat])</f>
        <v>6370</v>
      </c>
      <c r="D22" s="9">
        <f>SUBTOTAL(109,TblCheltuieli[Realizat])</f>
        <v>6585</v>
      </c>
      <c r="E22" s="9">
        <f>SUBTOTAL(109,TblCheltuieli[Diferență])</f>
        <v>-215</v>
      </c>
    </row>
  </sheetData>
  <conditionalFormatting sqref="E12:E21">
    <cfRule type="cellIs" dxfId="5" priority="1" stopIfTrue="1" operator="lessThan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3D7A-888E-4440-AF00-58D05C3A4CF5}">
  <dimension ref="B1:Z46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2.7109375" style="1" customWidth="1"/>
    <col min="3" max="3" width="15.7109375" style="1" customWidth="1"/>
    <col min="4" max="4" width="28.7109375" style="1" customWidth="1"/>
    <col min="5" max="5" width="13.7109375" style="1" customWidth="1"/>
    <col min="6" max="6" width="12.7109375" style="1" customWidth="1"/>
    <col min="7" max="7" width="3.7109375" style="1" customWidth="1"/>
    <col min="8" max="8" width="14.7109375" style="1" customWidth="1"/>
    <col min="9" max="9" width="13.7109375" style="1" customWidth="1"/>
    <col min="10" max="10" width="12.7109375" style="1" customWidth="1"/>
    <col min="11" max="16384" width="11.42578125" style="1"/>
  </cols>
  <sheetData>
    <row r="1" spans="2:10" ht="23.25" x14ac:dyDescent="0.35">
      <c r="B1" s="3" t="s">
        <v>28</v>
      </c>
    </row>
    <row r="2" spans="2:10" x14ac:dyDescent="0.25">
      <c r="B2" s="4" t="s">
        <v>29</v>
      </c>
    </row>
    <row r="3" spans="2:10" x14ac:dyDescent="0.25">
      <c r="B3" s="5" t="s">
        <v>30</v>
      </c>
    </row>
    <row r="5" spans="2:10" ht="30" customHeight="1" x14ac:dyDescent="0.25">
      <c r="B5" s="6" t="s">
        <v>32</v>
      </c>
      <c r="C5" s="6" t="s">
        <v>33</v>
      </c>
      <c r="D5" s="6" t="s">
        <v>34</v>
      </c>
      <c r="E5" s="6" t="s">
        <v>35</v>
      </c>
      <c r="F5" s="6" t="s">
        <v>36</v>
      </c>
      <c r="H5" s="7" t="s">
        <v>50</v>
      </c>
      <c r="I5" s="16">
        <f>DATE(2026,10,1)</f>
        <v>46296</v>
      </c>
    </row>
    <row r="6" spans="2:10" x14ac:dyDescent="0.25">
      <c r="B6" s="2">
        <f>DATE(2026,10,1)</f>
        <v>46296</v>
      </c>
      <c r="C6" s="1" t="s">
        <v>14</v>
      </c>
      <c r="D6" s="1" t="s">
        <v>37</v>
      </c>
      <c r="E6" s="9">
        <v>245.6</v>
      </c>
      <c r="F6" s="1" t="s">
        <v>38</v>
      </c>
    </row>
    <row r="7" spans="2:10" x14ac:dyDescent="0.25">
      <c r="B7" s="2">
        <f>DATE(2026,10,2)</f>
        <v>46297</v>
      </c>
      <c r="C7" s="1" t="s">
        <v>15</v>
      </c>
      <c r="D7" s="1" t="s">
        <v>39</v>
      </c>
      <c r="E7" s="9">
        <v>210</v>
      </c>
      <c r="F7" s="1" t="s">
        <v>38</v>
      </c>
      <c r="H7" s="17" t="s">
        <v>33</v>
      </c>
      <c r="I7" s="17" t="s">
        <v>51</v>
      </c>
      <c r="J7" s="17" t="s">
        <v>52</v>
      </c>
    </row>
    <row r="8" spans="2:10" x14ac:dyDescent="0.25">
      <c r="B8" s="2">
        <f>DATE(2026,10,3)</f>
        <v>46298</v>
      </c>
      <c r="C8" s="1" t="s">
        <v>18</v>
      </c>
      <c r="D8" s="1" t="s">
        <v>40</v>
      </c>
      <c r="E8" s="9">
        <v>76</v>
      </c>
      <c r="F8" s="1" t="s">
        <v>41</v>
      </c>
      <c r="H8" s="18" t="s">
        <v>14</v>
      </c>
      <c r="I8" s="19">
        <f>SUMIFS(TblCheltuieliZilnice[Sumă (lei)],TblCheltuieliZilnice[Categorie],H8,TblCheltuieliZilnice[Data],"&gt;="&amp;$I$5,TblCheltuieliZilnice[Data],"&lt;="&amp;EOMONTH($I$5,0))</f>
        <v>733.09999999999991</v>
      </c>
      <c r="J8" s="20">
        <f t="shared" ref="J8:J14" si="0">IF($I$15=0,"",I8/$I$15)</f>
        <v>0.44141377649325619</v>
      </c>
    </row>
    <row r="9" spans="2:10" x14ac:dyDescent="0.25">
      <c r="B9" s="2">
        <f>DATE(2026,10,5)</f>
        <v>46300</v>
      </c>
      <c r="C9" s="1" t="s">
        <v>13</v>
      </c>
      <c r="D9" s="1" t="s">
        <v>42</v>
      </c>
      <c r="E9" s="9">
        <v>186.4</v>
      </c>
      <c r="F9" s="1" t="s">
        <v>43</v>
      </c>
      <c r="H9" s="18" t="s">
        <v>13</v>
      </c>
      <c r="I9" s="19">
        <f>SUMIFS(TblCheltuieliZilnice[Sumă (lei)],TblCheltuieliZilnice[Categorie],H9,TblCheltuieliZilnice[Data],"&gt;="&amp;$I$5,TblCheltuieliZilnice[Data],"&lt;="&amp;EOMONTH($I$5,0))</f>
        <v>281.39999999999998</v>
      </c>
      <c r="J9" s="20">
        <f t="shared" si="0"/>
        <v>0.1694364161849711</v>
      </c>
    </row>
    <row r="10" spans="2:10" x14ac:dyDescent="0.25">
      <c r="B10" s="2">
        <f>DATE(2026,10,6)</f>
        <v>46301</v>
      </c>
      <c r="C10" s="1" t="s">
        <v>14</v>
      </c>
      <c r="D10" s="1" t="s">
        <v>44</v>
      </c>
      <c r="E10" s="9">
        <v>92.5</v>
      </c>
      <c r="F10" s="1" t="s">
        <v>41</v>
      </c>
      <c r="H10" s="18" t="s">
        <v>15</v>
      </c>
      <c r="I10" s="19">
        <f>SUMIFS(TblCheltuieliZilnice[Sumă (lei)],TblCheltuieliZilnice[Categorie],H10,TblCheltuieliZilnice[Data],"&gt;="&amp;$I$5,TblCheltuieliZilnice[Data],"&lt;="&amp;EOMONTH($I$5,0))</f>
        <v>298</v>
      </c>
      <c r="J10" s="20">
        <f t="shared" si="0"/>
        <v>0.17943159922928709</v>
      </c>
    </row>
    <row r="11" spans="2:10" x14ac:dyDescent="0.25">
      <c r="B11" s="2">
        <f>DATE(2026,10,8)</f>
        <v>46303</v>
      </c>
      <c r="C11" s="1" t="s">
        <v>16</v>
      </c>
      <c r="D11" s="1" t="s">
        <v>45</v>
      </c>
      <c r="E11" s="9">
        <v>64.3</v>
      </c>
      <c r="F11" s="1" t="s">
        <v>38</v>
      </c>
      <c r="H11" s="18" t="s">
        <v>16</v>
      </c>
      <c r="I11" s="19">
        <f>SUMIFS(TblCheltuieliZilnice[Sumă (lei)],TblCheltuieliZilnice[Categorie],H11,TblCheltuieliZilnice[Data],"&gt;="&amp;$I$5,TblCheltuieliZilnice[Data],"&lt;="&amp;EOMONTH($I$5,0))</f>
        <v>64.3</v>
      </c>
      <c r="J11" s="20">
        <f t="shared" si="0"/>
        <v>3.8716281310211945E-2</v>
      </c>
    </row>
    <row r="12" spans="2:10" x14ac:dyDescent="0.25">
      <c r="B12" s="2">
        <f>DATE(2026,10,10)</f>
        <v>46305</v>
      </c>
      <c r="C12" s="1" t="s">
        <v>31</v>
      </c>
      <c r="D12" s="1" t="s">
        <v>46</v>
      </c>
      <c r="E12" s="9">
        <v>58</v>
      </c>
      <c r="F12" s="1" t="s">
        <v>38</v>
      </c>
      <c r="H12" s="18" t="s">
        <v>18</v>
      </c>
      <c r="I12" s="19">
        <f>SUMIFS(TblCheltuieliZilnice[Sumă (lei)],TblCheltuieliZilnice[Categorie],H12,TblCheltuieliZilnice[Data],"&gt;="&amp;$I$5,TblCheltuieliZilnice[Data],"&lt;="&amp;EOMONTH($I$5,0))</f>
        <v>76</v>
      </c>
      <c r="J12" s="20">
        <f t="shared" si="0"/>
        <v>4.5761078998073218E-2</v>
      </c>
    </row>
    <row r="13" spans="2:10" x14ac:dyDescent="0.25">
      <c r="B13" s="2">
        <f>DATE(2026,10,12)</f>
        <v>46307</v>
      </c>
      <c r="C13" s="1" t="s">
        <v>14</v>
      </c>
      <c r="D13" s="1" t="s">
        <v>37</v>
      </c>
      <c r="E13" s="9">
        <v>318.2</v>
      </c>
      <c r="F13" s="1" t="s">
        <v>38</v>
      </c>
      <c r="H13" s="18" t="s">
        <v>31</v>
      </c>
      <c r="I13" s="19">
        <f>SUMIFS(TblCheltuieliZilnice[Sumă (lei)],TblCheltuieliZilnice[Categorie],H13,TblCheltuieliZilnice[Data],"&gt;="&amp;$I$5,TblCheltuieliZilnice[Data],"&lt;="&amp;EOMONTH($I$5,0))</f>
        <v>58</v>
      </c>
      <c r="J13" s="20">
        <f t="shared" si="0"/>
        <v>3.4922928709055875E-2</v>
      </c>
    </row>
    <row r="14" spans="2:10" x14ac:dyDescent="0.25">
      <c r="B14" s="2">
        <f>DATE(2026,10,14)</f>
        <v>46309</v>
      </c>
      <c r="C14" s="1" t="s">
        <v>13</v>
      </c>
      <c r="D14" s="1" t="s">
        <v>47</v>
      </c>
      <c r="E14" s="9">
        <v>95</v>
      </c>
      <c r="F14" s="1" t="s">
        <v>43</v>
      </c>
      <c r="H14" s="18" t="s">
        <v>21</v>
      </c>
      <c r="I14" s="19">
        <f>SUMIFS(TblCheltuieliZilnice[Sumă (lei)],TblCheltuieliZilnice[Categorie],H14,TblCheltuieliZilnice[Data],"&gt;="&amp;$I$5,TblCheltuieliZilnice[Data],"&lt;="&amp;EOMONTH($I$5,0))</f>
        <v>150</v>
      </c>
      <c r="J14" s="20">
        <f t="shared" si="0"/>
        <v>9.0317919075144512E-2</v>
      </c>
    </row>
    <row r="15" spans="2:10" x14ac:dyDescent="0.25">
      <c r="B15" s="2">
        <f>DATE(2026,10,15)</f>
        <v>46310</v>
      </c>
      <c r="C15" s="1" t="s">
        <v>21</v>
      </c>
      <c r="D15" s="1" t="s">
        <v>48</v>
      </c>
      <c r="E15" s="9">
        <v>150</v>
      </c>
      <c r="F15" s="1" t="s">
        <v>38</v>
      </c>
      <c r="H15" s="13" t="s">
        <v>53</v>
      </c>
      <c r="I15" s="11">
        <f>SUM(I8:I14)</f>
        <v>1660.8</v>
      </c>
      <c r="J15" s="13"/>
    </row>
    <row r="16" spans="2:10" x14ac:dyDescent="0.25">
      <c r="B16" s="2">
        <f>DATE(2026,10,18)</f>
        <v>46313</v>
      </c>
      <c r="C16" s="1" t="s">
        <v>15</v>
      </c>
      <c r="D16" s="1" t="s">
        <v>49</v>
      </c>
      <c r="E16" s="9">
        <v>88</v>
      </c>
      <c r="F16" s="1" t="s">
        <v>38</v>
      </c>
    </row>
    <row r="17" spans="2:6" x14ac:dyDescent="0.25">
      <c r="B17" s="2">
        <f>DATE(2026,10,20)</f>
        <v>46315</v>
      </c>
      <c r="C17" s="1" t="s">
        <v>14</v>
      </c>
      <c r="D17" s="1" t="s">
        <v>44</v>
      </c>
      <c r="E17" s="9">
        <v>76.8</v>
      </c>
      <c r="F17" s="1" t="s">
        <v>41</v>
      </c>
    </row>
    <row r="18" spans="2:6" x14ac:dyDescent="0.25">
      <c r="B18" s="1" t="s">
        <v>10</v>
      </c>
      <c r="E18" s="9">
        <f>SUBTOTAL(109,TblCheltuieliZilnice[Sumă (lei)])</f>
        <v>1660.8</v>
      </c>
    </row>
    <row r="40" spans="26:26" x14ac:dyDescent="0.25">
      <c r="Z40" s="15" t="s">
        <v>14</v>
      </c>
    </row>
    <row r="41" spans="26:26" x14ac:dyDescent="0.25">
      <c r="Z41" s="15" t="s">
        <v>13</v>
      </c>
    </row>
    <row r="42" spans="26:26" x14ac:dyDescent="0.25">
      <c r="Z42" s="15" t="s">
        <v>15</v>
      </c>
    </row>
    <row r="43" spans="26:26" x14ac:dyDescent="0.25">
      <c r="Z43" s="15" t="s">
        <v>16</v>
      </c>
    </row>
    <row r="44" spans="26:26" x14ac:dyDescent="0.25">
      <c r="Z44" s="15" t="s">
        <v>18</v>
      </c>
    </row>
    <row r="45" spans="26:26" x14ac:dyDescent="0.25">
      <c r="Z45" s="15" t="s">
        <v>31</v>
      </c>
    </row>
    <row r="46" spans="26:26" x14ac:dyDescent="0.25">
      <c r="Z46" s="15" t="s">
        <v>21</v>
      </c>
    </row>
  </sheetData>
  <dataValidations count="1">
    <dataValidation type="list" allowBlank="1" showInputMessage="1" showErrorMessage="1" sqref="C6:C17" xr:uid="{E47F700D-F2EA-41BC-BCFB-763E518EFF9C}">
      <formula1>CatCh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4FE9-1BC6-4EDE-9F3D-2287DCF145A6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34.7109375" style="1" customWidth="1"/>
    <col min="3" max="3" width="14.7109375" style="1" customWidth="1"/>
    <col min="4" max="4" width="11.7109375" style="1" customWidth="1"/>
    <col min="5" max="5" width="12.7109375" style="1" customWidth="1"/>
    <col min="6" max="6" width="11.7109375" style="1" customWidth="1"/>
    <col min="7" max="7" width="10.7109375" style="1" customWidth="1"/>
    <col min="8" max="8" width="17.7109375" style="1" customWidth="1"/>
    <col min="9" max="9" width="3.7109375" style="1" customWidth="1"/>
    <col min="10" max="10" width="14.7109375" style="1" customWidth="1"/>
    <col min="11" max="11" width="10.7109375" style="1" customWidth="1"/>
    <col min="12" max="16384" width="11.42578125" style="1"/>
  </cols>
  <sheetData>
    <row r="1" spans="2:11" ht="23.25" x14ac:dyDescent="0.35">
      <c r="B1" s="3" t="s">
        <v>54</v>
      </c>
    </row>
    <row r="2" spans="2:11" x14ac:dyDescent="0.25">
      <c r="B2" s="4" t="s">
        <v>55</v>
      </c>
    </row>
    <row r="3" spans="2:11" x14ac:dyDescent="0.25">
      <c r="B3" s="5" t="s">
        <v>56</v>
      </c>
    </row>
    <row r="5" spans="2:11" ht="30" customHeight="1" x14ac:dyDescent="0.25">
      <c r="B5" s="6" t="s">
        <v>63</v>
      </c>
      <c r="C5" s="6" t="s">
        <v>64</v>
      </c>
      <c r="D5" s="6" t="s">
        <v>65</v>
      </c>
      <c r="E5" s="6" t="s">
        <v>66</v>
      </c>
      <c r="F5" s="6" t="s">
        <v>67</v>
      </c>
      <c r="G5" s="6" t="s">
        <v>68</v>
      </c>
      <c r="H5" s="6" t="s">
        <v>69</v>
      </c>
      <c r="J5" s="21" t="s">
        <v>69</v>
      </c>
    </row>
    <row r="6" spans="2:11" x14ac:dyDescent="0.25">
      <c r="B6" s="1" t="s">
        <v>70</v>
      </c>
      <c r="C6" s="1" t="s">
        <v>71</v>
      </c>
      <c r="D6" s="1" t="s">
        <v>57</v>
      </c>
      <c r="E6" s="22">
        <f>DATE(2026,10,9)</f>
        <v>46304</v>
      </c>
      <c r="F6" s="23" t="s">
        <v>62</v>
      </c>
      <c r="G6" s="23" t="str">
        <f ca="1">IF(TblSarcini[[#This Row],[Status]]="Gata","",TblSarcini[[#This Row],[Termen]]-TODAY())</f>
        <v/>
      </c>
      <c r="H6" s="23" t="str">
        <f ca="1">IF(TblSarcini[[#This Row],[Status]]="Gata","✔ Gata",IF(TblSarcini[[#This Row],[Termen]]&lt;TODAY(),"Întârziată",IF(TblSarcini[[#This Row],[Termen]]-TODAY()&lt;=3,"Termen apropiat","În grafic")))</f>
        <v>✔ Gata</v>
      </c>
      <c r="J6" s="10" t="s">
        <v>81</v>
      </c>
      <c r="K6" s="13">
        <f>ROWS(TblSarcini[Sarcina])</f>
        <v>7</v>
      </c>
    </row>
    <row r="7" spans="2:11" x14ac:dyDescent="0.25">
      <c r="B7" s="1" t="s">
        <v>72</v>
      </c>
      <c r="C7" s="1" t="s">
        <v>73</v>
      </c>
      <c r="D7" s="1" t="s">
        <v>57</v>
      </c>
      <c r="E7" s="22">
        <f>DATE(2026,10,15)</f>
        <v>46310</v>
      </c>
      <c r="F7" s="23" t="s">
        <v>60</v>
      </c>
      <c r="G7" s="23">
        <f ca="1">IF(TblSarcini[[#This Row],[Status]]="Gata","",TblSarcini[[#This Row],[Termen]]-TODAY())</f>
        <v>2</v>
      </c>
      <c r="H7" s="23" t="str">
        <f ca="1">IF(TblSarcini[[#This Row],[Status]]="Gata","✔ Gata",IF(TblSarcini[[#This Row],[Termen]]&lt;TODAY(),"Întârziată",IF(TblSarcini[[#This Row],[Termen]]-TODAY()&lt;=3,"Termen apropiat","În grafic")))</f>
        <v>Termen apropiat</v>
      </c>
      <c r="J7" s="10" t="s">
        <v>62</v>
      </c>
      <c r="K7" s="13">
        <f>COUNTIF(TblSarcini[Status],"Gata")</f>
        <v>1</v>
      </c>
    </row>
    <row r="8" spans="2:11" x14ac:dyDescent="0.25">
      <c r="B8" s="1" t="s">
        <v>74</v>
      </c>
      <c r="C8" s="1" t="s">
        <v>71</v>
      </c>
      <c r="D8" s="1" t="s">
        <v>59</v>
      </c>
      <c r="E8" s="22">
        <f>DATE(2026,10,20)</f>
        <v>46315</v>
      </c>
      <c r="F8" s="23" t="s">
        <v>58</v>
      </c>
      <c r="G8" s="23">
        <f ca="1">IF(TblSarcini[[#This Row],[Status]]="Gata","",TblSarcini[[#This Row],[Termen]]-TODAY())</f>
        <v>7</v>
      </c>
      <c r="H8" s="23" t="str">
        <f ca="1">IF(TblSarcini[[#This Row],[Status]]="Gata","✔ Gata",IF(TblSarcini[[#This Row],[Termen]]&lt;TODAY(),"Întârziată",IF(TblSarcini[[#This Row],[Termen]]-TODAY()&lt;=3,"Termen apropiat","În grafic")))</f>
        <v>În grafic</v>
      </c>
      <c r="J8" s="10" t="s">
        <v>82</v>
      </c>
      <c r="K8" s="13">
        <f ca="1">COUNTIF(TblSarcini[Situație],"Întârziată")</f>
        <v>1</v>
      </c>
    </row>
    <row r="9" spans="2:11" x14ac:dyDescent="0.25">
      <c r="B9" s="1" t="s">
        <v>75</v>
      </c>
      <c r="C9" s="1" t="s">
        <v>76</v>
      </c>
      <c r="D9" s="1" t="s">
        <v>59</v>
      </c>
      <c r="E9" s="22">
        <f>DATE(2026,10,30)</f>
        <v>46325</v>
      </c>
      <c r="F9" s="23" t="s">
        <v>58</v>
      </c>
      <c r="G9" s="23">
        <f ca="1">IF(TblSarcini[[#This Row],[Status]]="Gata","",TblSarcini[[#This Row],[Termen]]-TODAY())</f>
        <v>17</v>
      </c>
      <c r="H9" s="23" t="str">
        <f ca="1">IF(TblSarcini[[#This Row],[Status]]="Gata","✔ Gata",IF(TblSarcini[[#This Row],[Termen]]&lt;TODAY(),"Întârziată",IF(TblSarcini[[#This Row],[Termen]]-TODAY()&lt;=3,"Termen apropiat","În grafic")))</f>
        <v>În grafic</v>
      </c>
      <c r="J9" s="10" t="s">
        <v>83</v>
      </c>
      <c r="K9" s="12">
        <f>IF(K6=0,"",K7/K6)</f>
        <v>0.14285714285714285</v>
      </c>
    </row>
    <row r="10" spans="2:11" x14ac:dyDescent="0.25">
      <c r="B10" s="1" t="s">
        <v>77</v>
      </c>
      <c r="C10" s="1" t="s">
        <v>78</v>
      </c>
      <c r="D10" s="1" t="s">
        <v>61</v>
      </c>
      <c r="E10" s="22">
        <f>DATE(2026,11,5)</f>
        <v>46331</v>
      </c>
      <c r="F10" s="23" t="s">
        <v>58</v>
      </c>
      <c r="G10" s="23">
        <f ca="1">IF(TblSarcini[[#This Row],[Status]]="Gata","",TblSarcini[[#This Row],[Termen]]-TODAY())</f>
        <v>23</v>
      </c>
      <c r="H10" s="23" t="str">
        <f ca="1">IF(TblSarcini[[#This Row],[Status]]="Gata","✔ Gata",IF(TblSarcini[[#This Row],[Termen]]&lt;TODAY(),"Întârziată",IF(TblSarcini[[#This Row],[Termen]]-TODAY()&lt;=3,"Termen apropiat","În grafic")))</f>
        <v>În grafic</v>
      </c>
    </row>
    <row r="11" spans="2:11" x14ac:dyDescent="0.25">
      <c r="B11" s="1" t="s">
        <v>79</v>
      </c>
      <c r="C11" s="1" t="s">
        <v>73</v>
      </c>
      <c r="D11" s="1" t="s">
        <v>57</v>
      </c>
      <c r="E11" s="22">
        <f>DATE(2026,11,3)</f>
        <v>46329</v>
      </c>
      <c r="F11" s="23" t="s">
        <v>58</v>
      </c>
      <c r="G11" s="23">
        <f ca="1">IF(TblSarcini[[#This Row],[Status]]="Gata","",TblSarcini[[#This Row],[Termen]]-TODAY())</f>
        <v>21</v>
      </c>
      <c r="H11" s="23" t="str">
        <f ca="1">IF(TblSarcini[[#This Row],[Status]]="Gata","✔ Gata",IF(TblSarcini[[#This Row],[Termen]]&lt;TODAY(),"Întârziată",IF(TblSarcini[[#This Row],[Termen]]-TODAY()&lt;=3,"Termen apropiat","În grafic")))</f>
        <v>În grafic</v>
      </c>
    </row>
    <row r="12" spans="2:11" x14ac:dyDescent="0.25">
      <c r="B12" s="1" t="s">
        <v>80</v>
      </c>
      <c r="C12" s="1" t="s">
        <v>71</v>
      </c>
      <c r="D12" s="1" t="s">
        <v>61</v>
      </c>
      <c r="E12" s="22">
        <f>DATE(2026,10,10)</f>
        <v>46305</v>
      </c>
      <c r="F12" s="23" t="s">
        <v>58</v>
      </c>
      <c r="G12" s="23">
        <f ca="1">IF(TblSarcini[[#This Row],[Status]]="Gata","",TblSarcini[[#This Row],[Termen]]-TODAY())</f>
        <v>-3</v>
      </c>
      <c r="H12" s="23" t="str">
        <f ca="1">IF(TblSarcini[[#This Row],[Status]]="Gata","✔ Gata",IF(TblSarcini[[#This Row],[Termen]]&lt;TODAY(),"Întârziată",IF(TblSarcini[[#This Row],[Termen]]-TODAY()&lt;=3,"Termen apropiat","În grafic")))</f>
        <v>Întârziată</v>
      </c>
    </row>
    <row r="40" spans="26:27" x14ac:dyDescent="0.25">
      <c r="Z40" s="15" t="s">
        <v>57</v>
      </c>
      <c r="AA40" s="15" t="s">
        <v>58</v>
      </c>
    </row>
    <row r="41" spans="26:27" x14ac:dyDescent="0.25">
      <c r="Z41" s="15" t="s">
        <v>59</v>
      </c>
      <c r="AA41" s="15" t="s">
        <v>60</v>
      </c>
    </row>
    <row r="42" spans="26:27" x14ac:dyDescent="0.25">
      <c r="Z42" s="15" t="s">
        <v>61</v>
      </c>
      <c r="AA42" s="15" t="s">
        <v>62</v>
      </c>
    </row>
    <row r="1000" spans="702:702" x14ac:dyDescent="0.25">
      <c r="ZZ1000"/>
    </row>
  </sheetData>
  <conditionalFormatting sqref="B6:H12">
    <cfRule type="expression" dxfId="4" priority="1" stopIfTrue="1">
      <formula>$H6="Întârziată"</formula>
    </cfRule>
    <cfRule type="expression" dxfId="3" priority="2" stopIfTrue="1">
      <formula>$F6="Gata"</formula>
    </cfRule>
    <cfRule type="expression" dxfId="2" priority="3" stopIfTrue="1">
      <formula>$H6="Termen apropiat"</formula>
    </cfRule>
  </conditionalFormatting>
  <dataValidations count="2">
    <dataValidation type="list" allowBlank="1" showInputMessage="1" showErrorMessage="1" sqref="D6:D12" xr:uid="{EE41173A-33FA-41B1-B5A0-0DBB3F3525F9}">
      <formula1>$Z$40:$Z$42</formula1>
    </dataValidation>
    <dataValidation type="list" allowBlank="1" showInputMessage="1" showErrorMessage="1" sqref="F6:F12" xr:uid="{7B39B412-1ACC-4DB9-A66D-FA4F8BD77614}">
      <formula1>$AA$40:$AA$42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45FA-C6BA-49A5-881B-B93904F93346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6.7109375" style="1" customWidth="1"/>
    <col min="3" max="3" width="24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13.7109375" style="1" customWidth="1"/>
    <col min="8" max="8" width="32.7109375" style="1" customWidth="1"/>
    <col min="9" max="9" width="13.7109375" style="1" customWidth="1"/>
    <col min="10" max="16384" width="11.42578125" style="1"/>
  </cols>
  <sheetData>
    <row r="1" spans="2:9" ht="23.25" x14ac:dyDescent="0.35">
      <c r="B1" s="3" t="s">
        <v>84</v>
      </c>
    </row>
    <row r="2" spans="2:9" x14ac:dyDescent="0.25">
      <c r="B2" s="4" t="s">
        <v>85</v>
      </c>
    </row>
    <row r="3" spans="2:9" x14ac:dyDescent="0.25">
      <c r="B3" s="5" t="s">
        <v>86</v>
      </c>
    </row>
    <row r="5" spans="2:9" ht="30" customHeight="1" x14ac:dyDescent="0.25">
      <c r="B5" s="6" t="s">
        <v>87</v>
      </c>
      <c r="C5" s="6" t="s">
        <v>88</v>
      </c>
      <c r="D5" s="6" t="s">
        <v>89</v>
      </c>
      <c r="E5" s="6" t="s">
        <v>90</v>
      </c>
      <c r="F5" s="6" t="s">
        <v>91</v>
      </c>
      <c r="G5" s="6" t="s">
        <v>92</v>
      </c>
      <c r="H5" s="6" t="s">
        <v>93</v>
      </c>
      <c r="I5" s="6" t="s">
        <v>94</v>
      </c>
    </row>
    <row r="6" spans="2:9" x14ac:dyDescent="0.25">
      <c r="B6" s="1" t="s">
        <v>95</v>
      </c>
      <c r="C6" s="1" t="s">
        <v>96</v>
      </c>
      <c r="D6" s="24" t="s">
        <v>97</v>
      </c>
      <c r="E6" s="1" t="s">
        <v>98</v>
      </c>
      <c r="F6" s="1" t="s">
        <v>99</v>
      </c>
      <c r="G6" s="22">
        <f>DATE(2026,10,6)</f>
        <v>46301</v>
      </c>
      <c r="H6" s="1" t="s">
        <v>100</v>
      </c>
      <c r="I6" s="23">
        <f ca="1">IF(TblClienti[[#This Row],[Ultimul contact]]="","",TODAY()-TblClienti[[#This Row],[Ultimul contact]])</f>
        <v>7</v>
      </c>
    </row>
    <row r="7" spans="2:9" x14ac:dyDescent="0.25">
      <c r="B7" s="1" t="s">
        <v>101</v>
      </c>
      <c r="C7" s="1" t="s">
        <v>102</v>
      </c>
      <c r="D7" s="24" t="s">
        <v>103</v>
      </c>
      <c r="E7" s="1" t="s">
        <v>104</v>
      </c>
      <c r="F7" s="1" t="s">
        <v>105</v>
      </c>
      <c r="G7" s="22">
        <f>DATE(2026,8,28)</f>
        <v>46262</v>
      </c>
      <c r="H7" s="1" t="s">
        <v>106</v>
      </c>
      <c r="I7" s="23">
        <f ca="1">IF(TblClienti[[#This Row],[Ultimul contact]]="","",TODAY()-TblClienti[[#This Row],[Ultimul contact]])</f>
        <v>46</v>
      </c>
    </row>
    <row r="8" spans="2:9" x14ac:dyDescent="0.25">
      <c r="B8" s="1" t="s">
        <v>107</v>
      </c>
      <c r="C8" s="1" t="s">
        <v>108</v>
      </c>
      <c r="D8" s="24" t="s">
        <v>109</v>
      </c>
      <c r="E8" s="1" t="s">
        <v>110</v>
      </c>
      <c r="F8" s="1" t="s">
        <v>99</v>
      </c>
      <c r="G8" s="22">
        <f>DATE(2026,9,30)</f>
        <v>46295</v>
      </c>
      <c r="H8" s="1" t="s">
        <v>111</v>
      </c>
      <c r="I8" s="23">
        <f ca="1">IF(TblClienti[[#This Row],[Ultimul contact]]="","",TODAY()-TblClienti[[#This Row],[Ultimul contact]])</f>
        <v>13</v>
      </c>
    </row>
    <row r="9" spans="2:9" x14ac:dyDescent="0.25">
      <c r="B9" s="1" t="s">
        <v>112</v>
      </c>
      <c r="C9" s="1" t="s">
        <v>113</v>
      </c>
      <c r="D9" s="24" t="s">
        <v>114</v>
      </c>
      <c r="E9" s="1" t="s">
        <v>115</v>
      </c>
      <c r="F9" s="1" t="s">
        <v>116</v>
      </c>
      <c r="G9" s="22">
        <f>DATE(2026,7,15)</f>
        <v>46218</v>
      </c>
      <c r="H9" s="1" t="s">
        <v>117</v>
      </c>
      <c r="I9" s="23">
        <f ca="1">IF(TblClienti[[#This Row],[Ultimul contact]]="","",TODAY()-TblClienti[[#This Row],[Ultimul contact]])</f>
        <v>90</v>
      </c>
    </row>
    <row r="10" spans="2:9" x14ac:dyDescent="0.25">
      <c r="B10" s="1" t="s">
        <v>118</v>
      </c>
      <c r="C10" s="1" t="s">
        <v>119</v>
      </c>
      <c r="D10" s="24" t="s">
        <v>120</v>
      </c>
      <c r="E10" s="1" t="s">
        <v>121</v>
      </c>
      <c r="F10" s="1" t="s">
        <v>122</v>
      </c>
      <c r="G10" s="22">
        <f>DATE(2026,10,9)</f>
        <v>46304</v>
      </c>
      <c r="H10" s="1" t="s">
        <v>123</v>
      </c>
      <c r="I10" s="23">
        <f ca="1">IF(TblClienti[[#This Row],[Ultimul contact]]="","",TODAY()-TblClienti[[#This Row],[Ultimul contact]])</f>
        <v>4</v>
      </c>
    </row>
    <row r="1000" spans="702:702" x14ac:dyDescent="0.25">
      <c r="ZZ1000"/>
    </row>
  </sheetData>
  <conditionalFormatting sqref="B6:I10">
    <cfRule type="expression" dxfId="1" priority="1" stopIfTrue="1">
      <formula>AND(ISNUMBER($I6),$I6&gt;30)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6BF5-8FDC-46FB-8724-C01366116817}">
  <dimension ref="B1:ZZ1000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7.7109375" style="1" customWidth="1"/>
    <col min="3" max="3" width="24.7109375" style="1" customWidth="1"/>
    <col min="4" max="4" width="14.7109375" style="1" customWidth="1"/>
    <col min="5" max="5" width="12.7109375" style="1" customWidth="1"/>
    <col min="6" max="6" width="11.7109375" style="1" customWidth="1"/>
    <col min="7" max="7" width="12.7109375" style="1" customWidth="1"/>
    <col min="8" max="8" width="11.7109375" style="1" customWidth="1"/>
    <col min="9" max="9" width="13.7109375" style="1" customWidth="1"/>
    <col min="10" max="10" width="17.7109375" style="1" customWidth="1"/>
    <col min="11" max="16384" width="11.42578125" style="1"/>
  </cols>
  <sheetData>
    <row r="1" spans="2:10" ht="23.25" x14ac:dyDescent="0.35">
      <c r="B1" s="3" t="s">
        <v>124</v>
      </c>
    </row>
    <row r="2" spans="2:10" x14ac:dyDescent="0.25">
      <c r="B2" s="4" t="s">
        <v>125</v>
      </c>
    </row>
    <row r="3" spans="2:10" x14ac:dyDescent="0.25">
      <c r="B3" s="5" t="s">
        <v>126</v>
      </c>
    </row>
    <row r="5" spans="2:10" ht="30" customHeight="1" x14ac:dyDescent="0.25">
      <c r="B5" s="6" t="s">
        <v>127</v>
      </c>
      <c r="C5" s="6" t="s">
        <v>128</v>
      </c>
      <c r="D5" s="6" t="s">
        <v>33</v>
      </c>
      <c r="E5" s="6" t="s">
        <v>129</v>
      </c>
      <c r="F5" s="6" t="s">
        <v>130</v>
      </c>
      <c r="G5" s="6" t="s">
        <v>131</v>
      </c>
      <c r="H5" s="6" t="s">
        <v>132</v>
      </c>
      <c r="I5" s="6" t="s">
        <v>133</v>
      </c>
      <c r="J5" s="6" t="s">
        <v>134</v>
      </c>
    </row>
    <row r="6" spans="2:10" x14ac:dyDescent="0.25">
      <c r="B6" s="23" t="s">
        <v>135</v>
      </c>
      <c r="C6" s="1" t="s">
        <v>136</v>
      </c>
      <c r="D6" s="1" t="s">
        <v>137</v>
      </c>
      <c r="E6" s="1" t="s">
        <v>138</v>
      </c>
      <c r="F6" s="23">
        <v>8</v>
      </c>
      <c r="G6" s="25">
        <v>24</v>
      </c>
      <c r="H6" s="23">
        <v>5</v>
      </c>
      <c r="I6" s="9">
        <f>TblInventar[[#This Row],[Cantitate]]*TblInventar[[#This Row],[Preț unitar]]</f>
        <v>192</v>
      </c>
      <c r="J6" s="1" t="str">
        <f>IF(TblInventar[[#This Row],[Stoc minim]]="","",IF(TblInventar[[#This Row],[Cantitate]]&lt;TblInventar[[#This Row],[Stoc minim]],"Reaprovizionează","OK"))</f>
        <v>OK</v>
      </c>
    </row>
    <row r="7" spans="2:10" x14ac:dyDescent="0.25">
      <c r="B7" s="23" t="s">
        <v>139</v>
      </c>
      <c r="C7" s="1" t="s">
        <v>140</v>
      </c>
      <c r="D7" s="1" t="s">
        <v>137</v>
      </c>
      <c r="E7" s="1" t="s">
        <v>138</v>
      </c>
      <c r="F7" s="23">
        <v>1</v>
      </c>
      <c r="G7" s="25">
        <v>310</v>
      </c>
      <c r="H7" s="23">
        <v>2</v>
      </c>
      <c r="I7" s="9">
        <f>TblInventar[[#This Row],[Cantitate]]*TblInventar[[#This Row],[Preț unitar]]</f>
        <v>310</v>
      </c>
      <c r="J7" s="1" t="str">
        <f>IF(TblInventar[[#This Row],[Stoc minim]]="","",IF(TblInventar[[#This Row],[Cantitate]]&lt;TblInventar[[#This Row],[Stoc minim]],"Reaprovizionează","OK"))</f>
        <v>Reaprovizionează</v>
      </c>
    </row>
    <row r="8" spans="2:10" x14ac:dyDescent="0.25">
      <c r="B8" s="23" t="s">
        <v>141</v>
      </c>
      <c r="C8" s="1" t="s">
        <v>142</v>
      </c>
      <c r="D8" s="1" t="s">
        <v>143</v>
      </c>
      <c r="E8" s="1" t="s">
        <v>144</v>
      </c>
      <c r="F8" s="23">
        <v>4</v>
      </c>
      <c r="G8" s="25">
        <v>3200</v>
      </c>
      <c r="H8" s="23"/>
      <c r="I8" s="9">
        <f>TblInventar[[#This Row],[Cantitate]]*TblInventar[[#This Row],[Preț unitar]]</f>
        <v>12800</v>
      </c>
      <c r="J8" s="1" t="str">
        <f>IF(TblInventar[[#This Row],[Stoc minim]]="","",IF(TblInventar[[#This Row],[Cantitate]]&lt;TblInventar[[#This Row],[Stoc minim]],"Reaprovizionează","OK"))</f>
        <v/>
      </c>
    </row>
    <row r="9" spans="2:10" x14ac:dyDescent="0.25">
      <c r="B9" s="23" t="s">
        <v>145</v>
      </c>
      <c r="C9" s="1" t="s">
        <v>146</v>
      </c>
      <c r="D9" s="1" t="s">
        <v>143</v>
      </c>
      <c r="E9" s="1" t="s">
        <v>147</v>
      </c>
      <c r="F9" s="23">
        <v>6</v>
      </c>
      <c r="G9" s="25">
        <v>85</v>
      </c>
      <c r="H9" s="23">
        <v>3</v>
      </c>
      <c r="I9" s="9">
        <f>TblInventar[[#This Row],[Cantitate]]*TblInventar[[#This Row],[Preț unitar]]</f>
        <v>510</v>
      </c>
      <c r="J9" s="1" t="str">
        <f>IF(TblInventar[[#This Row],[Stoc minim]]="","",IF(TblInventar[[#This Row],[Cantitate]]&lt;TblInventar[[#This Row],[Stoc minim]],"Reaprovizionează","OK"))</f>
        <v>OK</v>
      </c>
    </row>
    <row r="10" spans="2:10" x14ac:dyDescent="0.25">
      <c r="B10" s="23" t="s">
        <v>148</v>
      </c>
      <c r="C10" s="1" t="s">
        <v>149</v>
      </c>
      <c r="D10" s="1" t="s">
        <v>150</v>
      </c>
      <c r="E10" s="1" t="s">
        <v>151</v>
      </c>
      <c r="F10" s="23">
        <v>2</v>
      </c>
      <c r="G10" s="25">
        <v>79</v>
      </c>
      <c r="H10" s="23">
        <v>3</v>
      </c>
      <c r="I10" s="9">
        <f>TblInventar[[#This Row],[Cantitate]]*TblInventar[[#This Row],[Preț unitar]]</f>
        <v>158</v>
      </c>
      <c r="J10" s="1" t="str">
        <f>IF(TblInventar[[#This Row],[Stoc minim]]="","",IF(TblInventar[[#This Row],[Cantitate]]&lt;TblInventar[[#This Row],[Stoc minim]],"Reaprovizionează","OK"))</f>
        <v>Reaprovizionează</v>
      </c>
    </row>
    <row r="11" spans="2:10" x14ac:dyDescent="0.25">
      <c r="B11" s="23" t="s">
        <v>152</v>
      </c>
      <c r="C11" s="1" t="s">
        <v>153</v>
      </c>
      <c r="D11" s="1" t="s">
        <v>150</v>
      </c>
      <c r="E11" s="1" t="s">
        <v>154</v>
      </c>
      <c r="F11" s="23">
        <v>3</v>
      </c>
      <c r="G11" s="25">
        <v>34.9</v>
      </c>
      <c r="H11" s="23">
        <v>2</v>
      </c>
      <c r="I11" s="9">
        <f>TblInventar[[#This Row],[Cantitate]]*TblInventar[[#This Row],[Preț unitar]]</f>
        <v>104.69999999999999</v>
      </c>
      <c r="J11" s="1" t="str">
        <f>IF(TblInventar[[#This Row],[Stoc minim]]="","",IF(TblInventar[[#This Row],[Cantitate]]&lt;TblInventar[[#This Row],[Stoc minim]],"Reaprovizionează","OK"))</f>
        <v>OK</v>
      </c>
    </row>
    <row r="12" spans="2:10" x14ac:dyDescent="0.25">
      <c r="B12" s="23" t="s">
        <v>155</v>
      </c>
      <c r="C12" s="1" t="s">
        <v>156</v>
      </c>
      <c r="D12" s="1" t="s">
        <v>157</v>
      </c>
      <c r="E12" s="1" t="s">
        <v>158</v>
      </c>
      <c r="F12" s="23">
        <v>6</v>
      </c>
      <c r="G12" s="25">
        <v>420</v>
      </c>
      <c r="H12" s="23"/>
      <c r="I12" s="9">
        <f>TblInventar[[#This Row],[Cantitate]]*TblInventar[[#This Row],[Preț unitar]]</f>
        <v>2520</v>
      </c>
      <c r="J12" s="1" t="str">
        <f>IF(TblInventar[[#This Row],[Stoc minim]]="","",IF(TblInventar[[#This Row],[Cantitate]]&lt;TblInventar[[#This Row],[Stoc minim]],"Reaprovizionează","OK"))</f>
        <v/>
      </c>
    </row>
    <row r="13" spans="2:10" x14ac:dyDescent="0.25">
      <c r="B13" s="23" t="s">
        <v>10</v>
      </c>
      <c r="F13" s="23">
        <f>SUBTOTAL(109,TblInventar[Cantitate])</f>
        <v>30</v>
      </c>
      <c r="G13" s="23"/>
      <c r="H13" s="23"/>
      <c r="I13" s="9">
        <f>SUBTOTAL(109,TblInventar[Valoare])</f>
        <v>16594.7</v>
      </c>
    </row>
    <row r="1000" spans="702:702" x14ac:dyDescent="0.25">
      <c r="ZZ1000"/>
    </row>
  </sheetData>
  <conditionalFormatting sqref="B6:J12">
    <cfRule type="expression" dxfId="0" priority="1" stopIfTrue="1">
      <formula>$J6="Reaprovizionează"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0915-2B93-473C-AD3B-9A6799758428}">
  <dimension ref="B1:I18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14.7109375" style="1" customWidth="1"/>
    <col min="3" max="5" width="12.7109375" style="1" customWidth="1"/>
    <col min="6" max="6" width="10.7109375" style="1" customWidth="1"/>
    <col min="7" max="7" width="3.7109375" style="1" customWidth="1"/>
    <col min="8" max="8" width="26.7109375" style="1" customWidth="1"/>
    <col min="9" max="9" width="14.7109375" style="1" customWidth="1"/>
    <col min="10" max="16384" width="11.42578125" style="1"/>
  </cols>
  <sheetData>
    <row r="1" spans="2:9" ht="23.25" x14ac:dyDescent="0.35">
      <c r="B1" s="3" t="s">
        <v>159</v>
      </c>
    </row>
    <row r="2" spans="2:9" x14ac:dyDescent="0.25">
      <c r="B2" s="4" t="s">
        <v>160</v>
      </c>
    </row>
    <row r="3" spans="2:9" x14ac:dyDescent="0.25">
      <c r="B3" s="5" t="s">
        <v>161</v>
      </c>
    </row>
    <row r="5" spans="2:9" ht="30" customHeight="1" x14ac:dyDescent="0.25">
      <c r="B5" s="6" t="s">
        <v>162</v>
      </c>
      <c r="C5" s="6" t="s">
        <v>163</v>
      </c>
      <c r="D5" s="6" t="s">
        <v>11</v>
      </c>
      <c r="E5" s="6" t="s">
        <v>164</v>
      </c>
      <c r="F5" s="6" t="s">
        <v>165</v>
      </c>
      <c r="H5" s="21" t="s">
        <v>178</v>
      </c>
    </row>
    <row r="6" spans="2:9" x14ac:dyDescent="0.25">
      <c r="B6" s="1" t="s">
        <v>166</v>
      </c>
      <c r="C6" s="26">
        <v>42000</v>
      </c>
      <c r="D6" s="26">
        <v>31000</v>
      </c>
      <c r="E6" s="26">
        <f>IF(AND(TblVanzari[[#This Row],[Vânzări]]="",TblVanzari[[#This Row],[Cheltuieli]]=""),"",N(TblVanzari[[#This Row],[Vânzări]])-N(TblVanzari[[#This Row],[Cheltuieli]]))</f>
        <v>11000</v>
      </c>
      <c r="F6" s="27">
        <f>IF(N(TblVanzari[[#This Row],[Vânzări]])=0,"",TblVanzari[[#This Row],[Profit]]/TblVanzari[[#This Row],[Vânzări]])</f>
        <v>0.26190476190476192</v>
      </c>
      <c r="H6" s="10" t="s">
        <v>179</v>
      </c>
      <c r="I6" s="28">
        <f>COUNT(TblVanzari[Vânzări])</f>
        <v>9</v>
      </c>
    </row>
    <row r="7" spans="2:9" x14ac:dyDescent="0.25">
      <c r="B7" s="1" t="s">
        <v>167</v>
      </c>
      <c r="C7" s="26">
        <v>38500</v>
      </c>
      <c r="D7" s="26">
        <v>29400</v>
      </c>
      <c r="E7" s="26">
        <f>IF(AND(TblVanzari[[#This Row],[Vânzări]]="",TblVanzari[[#This Row],[Cheltuieli]]=""),"",N(TblVanzari[[#This Row],[Vânzări]])-N(TblVanzari[[#This Row],[Cheltuieli]]))</f>
        <v>9100</v>
      </c>
      <c r="F7" s="27">
        <f>IF(N(TblVanzari[[#This Row],[Vânzări]])=0,"",TblVanzari[[#This Row],[Profit]]/TblVanzari[[#This Row],[Vânzări]])</f>
        <v>0.23636363636363636</v>
      </c>
      <c r="H7" s="10" t="s">
        <v>180</v>
      </c>
      <c r="I7" s="29">
        <f>AVERAGE(TblVanzari[Vânzări])</f>
        <v>47155.555555555555</v>
      </c>
    </row>
    <row r="8" spans="2:9" x14ac:dyDescent="0.25">
      <c r="B8" s="1" t="s">
        <v>168</v>
      </c>
      <c r="C8" s="26">
        <v>45200</v>
      </c>
      <c r="D8" s="26">
        <v>33800</v>
      </c>
      <c r="E8" s="26">
        <f>IF(AND(TblVanzari[[#This Row],[Vânzări]]="",TblVanzari[[#This Row],[Cheltuieli]]=""),"",N(TblVanzari[[#This Row],[Vânzări]])-N(TblVanzari[[#This Row],[Cheltuieli]]))</f>
        <v>11400</v>
      </c>
      <c r="F8" s="27">
        <f>IF(N(TblVanzari[[#This Row],[Vânzări]])=0,"",TblVanzari[[#This Row],[Profit]]/TblVanzari[[#This Row],[Vânzări]])</f>
        <v>0.25221238938053098</v>
      </c>
      <c r="H8" s="10" t="s">
        <v>181</v>
      </c>
      <c r="I8" s="28" t="str">
        <f>INDEX(TblVanzari[Luna],MATCH(MAX(TblVanzari[Vânzări]),TblVanzari[Vânzări],0))</f>
        <v>Iunie</v>
      </c>
    </row>
    <row r="9" spans="2:9" x14ac:dyDescent="0.25">
      <c r="B9" s="1" t="s">
        <v>169</v>
      </c>
      <c r="C9" s="26">
        <v>51000</v>
      </c>
      <c r="D9" s="26">
        <v>36100</v>
      </c>
      <c r="E9" s="26">
        <f>IF(AND(TblVanzari[[#This Row],[Vânzări]]="",TblVanzari[[#This Row],[Cheltuieli]]=""),"",N(TblVanzari[[#This Row],[Vânzări]])-N(TblVanzari[[#This Row],[Cheltuieli]]))</f>
        <v>14900</v>
      </c>
      <c r="F9" s="27">
        <f>IF(N(TblVanzari[[#This Row],[Vânzări]])=0,"",TblVanzari[[#This Row],[Profit]]/TblVanzari[[#This Row],[Vânzări]])</f>
        <v>0.29215686274509806</v>
      </c>
      <c r="H9" s="10" t="s">
        <v>182</v>
      </c>
      <c r="I9" s="30">
        <f>IF(SUM(TblVanzari[Vânzări])=0,"",SUM(TblVanzari[Profit])/SUM(TblVanzari[Vânzări]))</f>
        <v>0.26460885956644675</v>
      </c>
    </row>
    <row r="10" spans="2:9" x14ac:dyDescent="0.25">
      <c r="B10" s="1" t="s">
        <v>170</v>
      </c>
      <c r="C10" s="26">
        <v>47800</v>
      </c>
      <c r="D10" s="26">
        <v>35200</v>
      </c>
      <c r="E10" s="26">
        <f>IF(AND(TblVanzari[[#This Row],[Vânzări]]="",TblVanzari[[#This Row],[Cheltuieli]]=""),"",N(TblVanzari[[#This Row],[Vânzări]])-N(TblVanzari[[#This Row],[Cheltuieli]]))</f>
        <v>12600</v>
      </c>
      <c r="F10" s="27">
        <f>IF(N(TblVanzari[[#This Row],[Vânzări]])=0,"",TblVanzari[[#This Row],[Profit]]/TblVanzari[[#This Row],[Vânzări]])</f>
        <v>0.26359832635983266</v>
      </c>
    </row>
    <row r="11" spans="2:9" x14ac:dyDescent="0.25">
      <c r="B11" s="1" t="s">
        <v>171</v>
      </c>
      <c r="C11" s="26">
        <v>55300</v>
      </c>
      <c r="D11" s="26">
        <v>38900</v>
      </c>
      <c r="E11" s="26">
        <f>IF(AND(TblVanzari[[#This Row],[Vânzări]]="",TblVanzari[[#This Row],[Cheltuieli]]=""),"",N(TblVanzari[[#This Row],[Vânzări]])-N(TblVanzari[[#This Row],[Cheltuieli]]))</f>
        <v>16400</v>
      </c>
      <c r="F11" s="27">
        <f>IF(N(TblVanzari[[#This Row],[Vânzări]])=0,"",TblVanzari[[#This Row],[Profit]]/TblVanzari[[#This Row],[Vânzări]])</f>
        <v>0.29656419529837252</v>
      </c>
    </row>
    <row r="12" spans="2:9" x14ac:dyDescent="0.25">
      <c r="B12" s="1" t="s">
        <v>172</v>
      </c>
      <c r="C12" s="26">
        <v>49600</v>
      </c>
      <c r="D12" s="26">
        <v>36700</v>
      </c>
      <c r="E12" s="26">
        <f>IF(AND(TblVanzari[[#This Row],[Vânzări]]="",TblVanzari[[#This Row],[Cheltuieli]]=""),"",N(TblVanzari[[#This Row],[Vânzări]])-N(TblVanzari[[#This Row],[Cheltuieli]]))</f>
        <v>12900</v>
      </c>
      <c r="F12" s="27">
        <f>IF(N(TblVanzari[[#This Row],[Vânzări]])=0,"",TblVanzari[[#This Row],[Profit]]/TblVanzari[[#This Row],[Vânzări]])</f>
        <v>0.26008064516129031</v>
      </c>
    </row>
    <row r="13" spans="2:9" x14ac:dyDescent="0.25">
      <c r="B13" s="1" t="s">
        <v>173</v>
      </c>
      <c r="C13" s="26">
        <v>41200</v>
      </c>
      <c r="D13" s="26">
        <v>33100</v>
      </c>
      <c r="E13" s="26">
        <f>IF(AND(TblVanzari[[#This Row],[Vânzări]]="",TblVanzari[[#This Row],[Cheltuieli]]=""),"",N(TblVanzari[[#This Row],[Vânzări]])-N(TblVanzari[[#This Row],[Cheltuieli]]))</f>
        <v>8100</v>
      </c>
      <c r="F13" s="27">
        <f>IF(N(TblVanzari[[#This Row],[Vânzări]])=0,"",TblVanzari[[#This Row],[Profit]]/TblVanzari[[#This Row],[Vânzări]])</f>
        <v>0.19660194174757281</v>
      </c>
    </row>
    <row r="14" spans="2:9" x14ac:dyDescent="0.25">
      <c r="B14" s="1" t="s">
        <v>174</v>
      </c>
      <c r="C14" s="26">
        <v>53800</v>
      </c>
      <c r="D14" s="26">
        <v>37900</v>
      </c>
      <c r="E14" s="26">
        <f>IF(AND(TblVanzari[[#This Row],[Vânzări]]="",TblVanzari[[#This Row],[Cheltuieli]]=""),"",N(TblVanzari[[#This Row],[Vânzări]])-N(TblVanzari[[#This Row],[Cheltuieli]]))</f>
        <v>15900</v>
      </c>
      <c r="F14" s="27">
        <f>IF(N(TblVanzari[[#This Row],[Vânzări]])=0,"",TblVanzari[[#This Row],[Profit]]/TblVanzari[[#This Row],[Vânzări]])</f>
        <v>0.29553903345724908</v>
      </c>
    </row>
    <row r="15" spans="2:9" x14ac:dyDescent="0.25">
      <c r="B15" s="1" t="s">
        <v>175</v>
      </c>
      <c r="C15" s="26"/>
      <c r="D15" s="26"/>
      <c r="E15" s="26" t="str">
        <f>IF(AND(TblVanzari[[#This Row],[Vânzări]]="",TblVanzari[[#This Row],[Cheltuieli]]=""),"",N(TblVanzari[[#This Row],[Vânzări]])-N(TblVanzari[[#This Row],[Cheltuieli]]))</f>
        <v/>
      </c>
      <c r="F15" s="27" t="str">
        <f>IF(N(TblVanzari[[#This Row],[Vânzări]])=0,"",TblVanzari[[#This Row],[Profit]]/TblVanzari[[#This Row],[Vânzări]])</f>
        <v/>
      </c>
    </row>
    <row r="16" spans="2:9" x14ac:dyDescent="0.25">
      <c r="B16" s="1" t="s">
        <v>176</v>
      </c>
      <c r="C16" s="26"/>
      <c r="D16" s="26"/>
      <c r="E16" s="26" t="str">
        <f>IF(AND(TblVanzari[[#This Row],[Vânzări]]="",TblVanzari[[#This Row],[Cheltuieli]]=""),"",N(TblVanzari[[#This Row],[Vânzări]])-N(TblVanzari[[#This Row],[Cheltuieli]]))</f>
        <v/>
      </c>
      <c r="F16" s="27" t="str">
        <f>IF(N(TblVanzari[[#This Row],[Vânzări]])=0,"",TblVanzari[[#This Row],[Profit]]/TblVanzari[[#This Row],[Vânzări]])</f>
        <v/>
      </c>
    </row>
    <row r="17" spans="2:6" x14ac:dyDescent="0.25">
      <c r="B17" s="1" t="s">
        <v>177</v>
      </c>
      <c r="C17" s="26"/>
      <c r="D17" s="26"/>
      <c r="E17" s="26" t="str">
        <f>IF(AND(TblVanzari[[#This Row],[Vânzări]]="",TblVanzari[[#This Row],[Cheltuieli]]=""),"",N(TblVanzari[[#This Row],[Vânzări]])-N(TblVanzari[[#This Row],[Cheltuieli]]))</f>
        <v/>
      </c>
      <c r="F17" s="27" t="str">
        <f>IF(N(TblVanzari[[#This Row],[Vânzări]])=0,"",TblVanzari[[#This Row],[Profit]]/TblVanzari[[#This Row],[Vânzări]])</f>
        <v/>
      </c>
    </row>
    <row r="18" spans="2:6" x14ac:dyDescent="0.25">
      <c r="B18" s="1" t="s">
        <v>10</v>
      </c>
      <c r="C18" s="26">
        <f>SUBTOTAL(109,TblVanzari[Vânzări])</f>
        <v>424400</v>
      </c>
      <c r="D18" s="26">
        <f>SUBTOTAL(109,TblVanzari[Cheltuieli])</f>
        <v>312100</v>
      </c>
      <c r="E18" s="26">
        <f>SUBTOTAL(109,TblVanzari[Profit])</f>
        <v>112300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4321-1B78-4114-972B-D6FC5AEF963E}">
  <dimension ref="B1:J11"/>
  <sheetViews>
    <sheetView showGridLines="0" workbookViewId="0"/>
  </sheetViews>
  <sheetFormatPr baseColWidth="10" defaultRowHeight="15" x14ac:dyDescent="0.25"/>
  <cols>
    <col min="1" max="1" width="2.7109375" style="1" customWidth="1"/>
    <col min="2" max="2" width="7.7109375" style="1" customWidth="1"/>
    <col min="3" max="3" width="28.7109375" style="1" customWidth="1"/>
    <col min="4" max="4" width="8.7109375" style="1" customWidth="1"/>
    <col min="5" max="5" width="14.7109375" style="1" customWidth="1"/>
    <col min="6" max="7" width="10.7109375" style="1" customWidth="1"/>
    <col min="8" max="8" width="13.7109375" style="1" customWidth="1"/>
    <col min="9" max="9" width="16.7109375" style="1" customWidth="1"/>
    <col min="10" max="10" width="13.7109375" style="1" customWidth="1"/>
    <col min="11" max="16384" width="11.42578125" style="1"/>
  </cols>
  <sheetData>
    <row r="1" spans="2:10" ht="23.25" x14ac:dyDescent="0.35">
      <c r="B1" s="3" t="s">
        <v>183</v>
      </c>
    </row>
    <row r="2" spans="2:10" x14ac:dyDescent="0.25">
      <c r="B2" s="4" t="s">
        <v>184</v>
      </c>
    </row>
    <row r="3" spans="2:10" x14ac:dyDescent="0.25">
      <c r="B3" s="5" t="s">
        <v>185</v>
      </c>
    </row>
    <row r="5" spans="2:10" ht="30" customHeight="1" x14ac:dyDescent="0.25">
      <c r="B5" s="6" t="s">
        <v>127</v>
      </c>
      <c r="C5" s="6" t="s">
        <v>186</v>
      </c>
      <c r="D5" s="6" t="s">
        <v>187</v>
      </c>
      <c r="E5" s="6" t="s">
        <v>188</v>
      </c>
      <c r="F5" s="6" t="s">
        <v>189</v>
      </c>
      <c r="G5" s="6" t="s">
        <v>190</v>
      </c>
      <c r="H5" s="6" t="s">
        <v>191</v>
      </c>
      <c r="I5" s="6" t="s">
        <v>192</v>
      </c>
      <c r="J5" s="6" t="s">
        <v>193</v>
      </c>
    </row>
    <row r="6" spans="2:10" x14ac:dyDescent="0.25">
      <c r="B6" s="23" t="s">
        <v>194</v>
      </c>
      <c r="C6" s="1" t="s">
        <v>195</v>
      </c>
      <c r="D6" s="23" t="s">
        <v>196</v>
      </c>
      <c r="E6" s="9">
        <v>420</v>
      </c>
      <c r="F6" s="31">
        <v>0.21</v>
      </c>
      <c r="G6" s="31"/>
      <c r="H6" s="9">
        <f>ROUND(TblPreturi[[#This Row],[Preț fără TVA]]*(1+TblPreturi[[#This Row],[Cota TVA]]),2)</f>
        <v>508.2</v>
      </c>
      <c r="I6" s="9">
        <f>ROUND(TblPreturi[[#This Row],[Preț cu TVA]]*(1-N(TblPreturi[[#This Row],[Discount]])),2)</f>
        <v>508.2</v>
      </c>
      <c r="J6" s="9">
        <f>ROUND(TblPreturi[[#This Row],[Preț final (cu discount)]]-TblPreturi[[#This Row],[Preț final (cu discount)]]/(1+TblPreturi[[#This Row],[Cota TVA]]),2)</f>
        <v>88.2</v>
      </c>
    </row>
    <row r="7" spans="2:10" x14ac:dyDescent="0.25">
      <c r="B7" s="23" t="s">
        <v>197</v>
      </c>
      <c r="C7" s="1" t="s">
        <v>198</v>
      </c>
      <c r="D7" s="23" t="s">
        <v>196</v>
      </c>
      <c r="E7" s="9">
        <v>690</v>
      </c>
      <c r="F7" s="31">
        <v>0.21</v>
      </c>
      <c r="G7" s="31">
        <v>0.05</v>
      </c>
      <c r="H7" s="9">
        <f>ROUND(TblPreturi[[#This Row],[Preț fără TVA]]*(1+TblPreturi[[#This Row],[Cota TVA]]),2)</f>
        <v>834.9</v>
      </c>
      <c r="I7" s="9">
        <f>ROUND(TblPreturi[[#This Row],[Preț cu TVA]]*(1-N(TblPreturi[[#This Row],[Discount]])),2)</f>
        <v>793.16</v>
      </c>
      <c r="J7" s="9">
        <f>ROUND(TblPreturi[[#This Row],[Preț final (cu discount)]]-TblPreturi[[#This Row],[Preț final (cu discount)]]/(1+TblPreturi[[#This Row],[Cota TVA]]),2)</f>
        <v>137.66</v>
      </c>
    </row>
    <row r="8" spans="2:10" x14ac:dyDescent="0.25">
      <c r="B8" s="23" t="s">
        <v>199</v>
      </c>
      <c r="C8" s="1" t="s">
        <v>200</v>
      </c>
      <c r="D8" s="23" t="s">
        <v>196</v>
      </c>
      <c r="E8" s="9">
        <v>95</v>
      </c>
      <c r="F8" s="31">
        <v>0.21</v>
      </c>
      <c r="G8" s="31"/>
      <c r="H8" s="9">
        <f>ROUND(TblPreturi[[#This Row],[Preț fără TVA]]*(1+TblPreturi[[#This Row],[Cota TVA]]),2)</f>
        <v>114.95</v>
      </c>
      <c r="I8" s="9">
        <f>ROUND(TblPreturi[[#This Row],[Preț cu TVA]]*(1-N(TblPreturi[[#This Row],[Discount]])),2)</f>
        <v>114.95</v>
      </c>
      <c r="J8" s="9">
        <f>ROUND(TblPreturi[[#This Row],[Preț final (cu discount)]]-TblPreturi[[#This Row],[Preț final (cu discount)]]/(1+TblPreturi[[#This Row],[Cota TVA]]),2)</f>
        <v>19.95</v>
      </c>
    </row>
    <row r="9" spans="2:10" x14ac:dyDescent="0.25">
      <c r="B9" s="23" t="s">
        <v>201</v>
      </c>
      <c r="C9" s="1" t="s">
        <v>202</v>
      </c>
      <c r="D9" s="23" t="s">
        <v>196</v>
      </c>
      <c r="E9" s="9">
        <v>120</v>
      </c>
      <c r="F9" s="31">
        <v>0.11</v>
      </c>
      <c r="G9" s="31"/>
      <c r="H9" s="9">
        <f>ROUND(TblPreturi[[#This Row],[Preț fără TVA]]*(1+TblPreturi[[#This Row],[Cota TVA]]),2)</f>
        <v>133.19999999999999</v>
      </c>
      <c r="I9" s="9">
        <f>ROUND(TblPreturi[[#This Row],[Preț cu TVA]]*(1-N(TblPreturi[[#This Row],[Discount]])),2)</f>
        <v>133.19999999999999</v>
      </c>
      <c r="J9" s="9">
        <f>ROUND(TblPreturi[[#This Row],[Preț final (cu discount)]]-TblPreturi[[#This Row],[Preț final (cu discount)]]/(1+TblPreturi[[#This Row],[Cota TVA]]),2)</f>
        <v>13.2</v>
      </c>
    </row>
    <row r="10" spans="2:10" x14ac:dyDescent="0.25">
      <c r="B10" s="23" t="s">
        <v>203</v>
      </c>
      <c r="C10" s="1" t="s">
        <v>204</v>
      </c>
      <c r="D10" s="23" t="s">
        <v>205</v>
      </c>
      <c r="E10" s="9">
        <v>90</v>
      </c>
      <c r="F10" s="31">
        <v>0.21</v>
      </c>
      <c r="G10" s="31">
        <v>0.1</v>
      </c>
      <c r="H10" s="9">
        <f>ROUND(TblPreturi[[#This Row],[Preț fără TVA]]*(1+TblPreturi[[#This Row],[Cota TVA]]),2)</f>
        <v>108.9</v>
      </c>
      <c r="I10" s="9">
        <f>ROUND(TblPreturi[[#This Row],[Preț cu TVA]]*(1-N(TblPreturi[[#This Row],[Discount]])),2)</f>
        <v>98.01</v>
      </c>
      <c r="J10" s="9">
        <f>ROUND(TblPreturi[[#This Row],[Preț final (cu discount)]]-TblPreturi[[#This Row],[Preț final (cu discount)]]/(1+TblPreturi[[#This Row],[Cota TVA]]),2)</f>
        <v>17.010000000000002</v>
      </c>
    </row>
    <row r="11" spans="2:10" x14ac:dyDescent="0.25">
      <c r="B11" s="23" t="s">
        <v>206</v>
      </c>
      <c r="C11" s="1" t="s">
        <v>15</v>
      </c>
      <c r="D11" s="23" t="s">
        <v>207</v>
      </c>
      <c r="E11" s="9">
        <v>150</v>
      </c>
      <c r="F11" s="31">
        <v>0.21</v>
      </c>
      <c r="G11" s="31"/>
      <c r="H11" s="9">
        <f>ROUND(TblPreturi[[#This Row],[Preț fără TVA]]*(1+TblPreturi[[#This Row],[Cota TVA]]),2)</f>
        <v>181.5</v>
      </c>
      <c r="I11" s="9">
        <f>ROUND(TblPreturi[[#This Row],[Preț cu TVA]]*(1-N(TblPreturi[[#This Row],[Discount]])),2)</f>
        <v>181.5</v>
      </c>
      <c r="J11" s="9">
        <f>ROUND(TblPreturi[[#This Row],[Preț final (cu discount)]]-TblPreturi[[#This Row],[Preț final (cu discount)]]/(1+TblPreturi[[#This Row],[Cota TVA]]),2)</f>
        <v>31.5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Cuprins</vt:lpstr>
      <vt:lpstr>Buget lunar</vt:lpstr>
      <vt:lpstr>Cheltuieli zilnice</vt:lpstr>
      <vt:lpstr>Listă de sarcini</vt:lpstr>
      <vt:lpstr>Clienți și contacte</vt:lpstr>
      <vt:lpstr>Inventar</vt:lpstr>
      <vt:lpstr>Vânzări lunare</vt:lpstr>
      <vt:lpstr>Catalog prețuri</vt:lpstr>
      <vt:lpstr>CatCh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Tabele Excel gata făcute (7 modele cu formule)</dc:title>
  <dc:subject>Model Excel gratuit în limba română</dc:subject>
  <dc:creator>Ray Moreno · modelexcel.ro</dc:creator>
  <cp:keywords>modelexcel.ro, model Excel, Tabele Excel gata făcute (7 modele cu formule)</cp:keywords>
  <dc:description>© 2026 Ray Moreno – modelexcel.ro. Model gratuit: îl poți folosi și adapta în activitatea ta. Nu este permisă revânzarea lui sau publicarea pe alte site-uri. https://modelexcel.ro/tabele-excel-gata-facute/</dc:description>
  <cp:lastModifiedBy>Ray Moreno · modelexcel.ro</cp:lastModifiedBy>
  <dcterms:created xsi:type="dcterms:W3CDTF">2026-10-11T21:19:28Z</dcterms:created>
  <dcterms:modified xsi:type="dcterms:W3CDTF">2026-10-13T17:30:52Z</dcterms:modified>
  <cp:category>Model Excel</cp:category>
</cp:coreProperties>
</file>