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ropbox\Ramon\WEBS NICHO\WEBS\modelexcel.ro\CLAUDE\copyright\nou\"/>
    </mc:Choice>
  </mc:AlternateContent>
  <xr:revisionPtr revIDLastSave="0" documentId="8_{9593E81E-0C97-489F-A62B-7E515353786B}" xr6:coauthVersionLast="47" xr6:coauthVersionMax="47" xr10:uidLastSave="{00000000-0000-0000-0000-000000000000}"/>
  <bookViews>
    <workbookView xWindow="-28920" yWindow="-120" windowWidth="29040" windowHeight="15720" xr2:uid="{6172F1B9-24DE-4ECE-968D-70579ED97015}"/>
  </bookViews>
  <sheets>
    <sheet name="Calendar an școlar" sheetId="1" r:id="rId1"/>
    <sheet name="Vacanțe și cursuri" sheetId="2" r:id="rId2"/>
    <sheet name="Concedii familie" sheetId="3" r:id="rId3"/>
    <sheet name="Setări" sheetId="4" r:id="rId4"/>
  </sheets>
  <definedNames>
    <definedName name="_xlnm.Print_Area" localSheetId="0">'Calendar an școlar'!$A$1:$Y$40</definedName>
    <definedName name="FebReluare">Setări!$N$8</definedName>
    <definedName name="FebUltCurs">Setări!$N$5</definedName>
    <definedName name="FebVacEnd">Setări!$N$7</definedName>
    <definedName name="FebVacStart">Setări!$N$6</definedName>
    <definedName name="Judet">Setări!$C$4</definedName>
    <definedName name="Libere">Setări!$K$5:$K$34</definedName>
    <definedName name="ListaClase">Setări!$E$10:$E$13</definedName>
    <definedName name="ListaFeb">Setări!$E$5:$E$7</definedName>
    <definedName name="OptFeb">Setări!$C$5</definedName>
    <definedName name="TabelClase">Setări!$E$10:$G$13</definedName>
    <definedName name="TabelFeb">Setări!$E$5:$I$7</definedName>
    <definedName name="TipClasa">Setări!$C$6</definedName>
    <definedName name="UltCurs">Setări!$N$9</definedName>
    <definedName name="VacEnd">'Vacanțe și cursuri'!$E$6:$E$15</definedName>
    <definedName name="VacStart">'Vacanțe și cursuri'!$D$6:$D$15</definedName>
    <definedName name="VacTip">'Vacanțe și cursuri'!$C$6:$C$15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9" i="3" l="1"/>
  <c r="I8" i="3"/>
  <c r="I7" i="3"/>
  <c r="I6" i="3"/>
  <c r="I5" i="3"/>
  <c r="D10" i="3"/>
  <c r="C10" i="3"/>
  <c r="E10" i="3" s="1"/>
  <c r="D9" i="3"/>
  <c r="C9" i="3"/>
  <c r="E9" i="3" s="1"/>
  <c r="D8" i="3"/>
  <c r="C8" i="3"/>
  <c r="E8" i="3" s="1"/>
  <c r="D7" i="3"/>
  <c r="C7" i="3"/>
  <c r="E7" i="3" s="1"/>
  <c r="D6" i="3"/>
  <c r="C6" i="3"/>
  <c r="E6" i="3" s="1"/>
  <c r="D5" i="3"/>
  <c r="C5" i="3"/>
  <c r="E5" i="3" s="1"/>
  <c r="G11" i="3"/>
  <c r="G12" i="3"/>
  <c r="G13" i="3"/>
  <c r="G14" i="3"/>
  <c r="G15" i="3"/>
  <c r="G16" i="3"/>
  <c r="G17" i="3"/>
  <c r="G18" i="3"/>
  <c r="G19" i="3"/>
  <c r="G20" i="3"/>
  <c r="G21" i="3"/>
  <c r="G22" i="3"/>
  <c r="G23" i="3"/>
  <c r="G24" i="3"/>
  <c r="G25" i="3"/>
  <c r="G26" i="3"/>
  <c r="G27" i="3"/>
  <c r="G28" i="3"/>
  <c r="G29" i="3"/>
  <c r="G30" i="3"/>
  <c r="G31" i="3"/>
  <c r="G32" i="3"/>
  <c r="G33" i="3"/>
  <c r="G34" i="3"/>
  <c r="F11" i="3"/>
  <c r="F12" i="3"/>
  <c r="F13" i="3"/>
  <c r="F14" i="3"/>
  <c r="F15" i="3"/>
  <c r="F16" i="3"/>
  <c r="F17" i="3"/>
  <c r="F18" i="3"/>
  <c r="F19" i="3"/>
  <c r="F20" i="3"/>
  <c r="F21" i="3"/>
  <c r="F22" i="3"/>
  <c r="F23" i="3"/>
  <c r="F24" i="3"/>
  <c r="F25" i="3"/>
  <c r="F26" i="3"/>
  <c r="F27" i="3"/>
  <c r="F28" i="3"/>
  <c r="F29" i="3"/>
  <c r="F30" i="3"/>
  <c r="F31" i="3"/>
  <c r="F32" i="3"/>
  <c r="E11" i="3"/>
  <c r="E12" i="3"/>
  <c r="E13" i="3"/>
  <c r="E14" i="3"/>
  <c r="E15" i="3"/>
  <c r="E16" i="3"/>
  <c r="E17" i="3"/>
  <c r="E18" i="3"/>
  <c r="E19" i="3"/>
  <c r="E20" i="3"/>
  <c r="E21" i="3"/>
  <c r="E22" i="3"/>
  <c r="E23" i="3"/>
  <c r="E24" i="3"/>
  <c r="E25" i="3"/>
  <c r="E26" i="3"/>
  <c r="E27" i="3"/>
  <c r="E28" i="3"/>
  <c r="E29" i="3"/>
  <c r="E30" i="3"/>
  <c r="E31" i="3"/>
  <c r="E32" i="3"/>
  <c r="E33" i="3"/>
  <c r="F33" i="3" s="1"/>
  <c r="E34" i="3"/>
  <c r="F34" i="3" s="1"/>
  <c r="X39" i="1"/>
  <c r="W39" i="1"/>
  <c r="V39" i="1"/>
  <c r="U39" i="1"/>
  <c r="T39" i="1"/>
  <c r="S39" i="1"/>
  <c r="R39" i="1"/>
  <c r="X38" i="1"/>
  <c r="W38" i="1"/>
  <c r="V38" i="1"/>
  <c r="U38" i="1"/>
  <c r="T38" i="1"/>
  <c r="S38" i="1"/>
  <c r="R38" i="1"/>
  <c r="X37" i="1"/>
  <c r="W37" i="1"/>
  <c r="V37" i="1"/>
  <c r="U37" i="1"/>
  <c r="T37" i="1"/>
  <c r="S37" i="1"/>
  <c r="R37" i="1"/>
  <c r="X36" i="1"/>
  <c r="W36" i="1"/>
  <c r="V36" i="1"/>
  <c r="U36" i="1"/>
  <c r="T36" i="1"/>
  <c r="S36" i="1"/>
  <c r="R36" i="1"/>
  <c r="X35" i="1"/>
  <c r="W35" i="1"/>
  <c r="V35" i="1"/>
  <c r="U35" i="1"/>
  <c r="T35" i="1"/>
  <c r="S35" i="1"/>
  <c r="R35" i="1"/>
  <c r="X34" i="1"/>
  <c r="W34" i="1"/>
  <c r="V34" i="1"/>
  <c r="U34" i="1"/>
  <c r="T34" i="1"/>
  <c r="S34" i="1"/>
  <c r="R34" i="1"/>
  <c r="P39" i="1"/>
  <c r="O39" i="1"/>
  <c r="N39" i="1"/>
  <c r="M39" i="1"/>
  <c r="L39" i="1"/>
  <c r="K39" i="1"/>
  <c r="J39" i="1"/>
  <c r="P38" i="1"/>
  <c r="O38" i="1"/>
  <c r="N38" i="1"/>
  <c r="M38" i="1"/>
  <c r="L38" i="1"/>
  <c r="K38" i="1"/>
  <c r="J38" i="1"/>
  <c r="P37" i="1"/>
  <c r="O37" i="1"/>
  <c r="N37" i="1"/>
  <c r="M37" i="1"/>
  <c r="L37" i="1"/>
  <c r="K37" i="1"/>
  <c r="J37" i="1"/>
  <c r="P36" i="1"/>
  <c r="O36" i="1"/>
  <c r="N36" i="1"/>
  <c r="M36" i="1"/>
  <c r="L36" i="1"/>
  <c r="K36" i="1"/>
  <c r="J36" i="1"/>
  <c r="P35" i="1"/>
  <c r="O35" i="1"/>
  <c r="N35" i="1"/>
  <c r="M35" i="1"/>
  <c r="L35" i="1"/>
  <c r="K35" i="1"/>
  <c r="J35" i="1"/>
  <c r="P34" i="1"/>
  <c r="O34" i="1"/>
  <c r="N34" i="1"/>
  <c r="M34" i="1"/>
  <c r="L34" i="1"/>
  <c r="K34" i="1"/>
  <c r="J34" i="1"/>
  <c r="H39" i="1"/>
  <c r="G39" i="1"/>
  <c r="F39" i="1"/>
  <c r="E39" i="1"/>
  <c r="D39" i="1"/>
  <c r="C39" i="1"/>
  <c r="B39" i="1"/>
  <c r="H38" i="1"/>
  <c r="G38" i="1"/>
  <c r="F38" i="1"/>
  <c r="E38" i="1"/>
  <c r="D38" i="1"/>
  <c r="C38" i="1"/>
  <c r="B38" i="1"/>
  <c r="H37" i="1"/>
  <c r="G37" i="1"/>
  <c r="F37" i="1"/>
  <c r="E37" i="1"/>
  <c r="D37" i="1"/>
  <c r="C37" i="1"/>
  <c r="B37" i="1"/>
  <c r="H36" i="1"/>
  <c r="G36" i="1"/>
  <c r="F36" i="1"/>
  <c r="E36" i="1"/>
  <c r="D36" i="1"/>
  <c r="C36" i="1"/>
  <c r="B36" i="1"/>
  <c r="H35" i="1"/>
  <c r="G35" i="1"/>
  <c r="F35" i="1"/>
  <c r="E35" i="1"/>
  <c r="D35" i="1"/>
  <c r="C35" i="1"/>
  <c r="B35" i="1"/>
  <c r="H34" i="1"/>
  <c r="G34" i="1"/>
  <c r="F34" i="1"/>
  <c r="E34" i="1"/>
  <c r="D34" i="1"/>
  <c r="C34" i="1"/>
  <c r="B34" i="1"/>
  <c r="X30" i="1"/>
  <c r="W30" i="1"/>
  <c r="V30" i="1"/>
  <c r="U30" i="1"/>
  <c r="T30" i="1"/>
  <c r="S30" i="1"/>
  <c r="R30" i="1"/>
  <c r="X29" i="1"/>
  <c r="W29" i="1"/>
  <c r="V29" i="1"/>
  <c r="U29" i="1"/>
  <c r="T29" i="1"/>
  <c r="S29" i="1"/>
  <c r="R29" i="1"/>
  <c r="X28" i="1"/>
  <c r="W28" i="1"/>
  <c r="V28" i="1"/>
  <c r="U28" i="1"/>
  <c r="T28" i="1"/>
  <c r="S28" i="1"/>
  <c r="R28" i="1"/>
  <c r="X27" i="1"/>
  <c r="W27" i="1"/>
  <c r="V27" i="1"/>
  <c r="U27" i="1"/>
  <c r="T27" i="1"/>
  <c r="S27" i="1"/>
  <c r="R27" i="1"/>
  <c r="X26" i="1"/>
  <c r="W26" i="1"/>
  <c r="V26" i="1"/>
  <c r="U26" i="1"/>
  <c r="T26" i="1"/>
  <c r="S26" i="1"/>
  <c r="R26" i="1"/>
  <c r="X25" i="1"/>
  <c r="W25" i="1"/>
  <c r="V25" i="1"/>
  <c r="U25" i="1"/>
  <c r="T25" i="1"/>
  <c r="S25" i="1"/>
  <c r="R25" i="1"/>
  <c r="P30" i="1"/>
  <c r="O30" i="1"/>
  <c r="N30" i="1"/>
  <c r="M30" i="1"/>
  <c r="L30" i="1"/>
  <c r="K30" i="1"/>
  <c r="J30" i="1"/>
  <c r="P29" i="1"/>
  <c r="O29" i="1"/>
  <c r="N29" i="1"/>
  <c r="M29" i="1"/>
  <c r="L29" i="1"/>
  <c r="K29" i="1"/>
  <c r="J29" i="1"/>
  <c r="P28" i="1"/>
  <c r="O28" i="1"/>
  <c r="N28" i="1"/>
  <c r="M28" i="1"/>
  <c r="L28" i="1"/>
  <c r="K28" i="1"/>
  <c r="J28" i="1"/>
  <c r="P27" i="1"/>
  <c r="O27" i="1"/>
  <c r="N27" i="1"/>
  <c r="M27" i="1"/>
  <c r="L27" i="1"/>
  <c r="K27" i="1"/>
  <c r="J27" i="1"/>
  <c r="P26" i="1"/>
  <c r="O26" i="1"/>
  <c r="N26" i="1"/>
  <c r="M26" i="1"/>
  <c r="L26" i="1"/>
  <c r="K26" i="1"/>
  <c r="J26" i="1"/>
  <c r="P25" i="1"/>
  <c r="O25" i="1"/>
  <c r="N25" i="1"/>
  <c r="M25" i="1"/>
  <c r="L25" i="1"/>
  <c r="K25" i="1"/>
  <c r="J25" i="1"/>
  <c r="H30" i="1"/>
  <c r="G30" i="1"/>
  <c r="F30" i="1"/>
  <c r="E30" i="1"/>
  <c r="D30" i="1"/>
  <c r="C30" i="1"/>
  <c r="B30" i="1"/>
  <c r="H29" i="1"/>
  <c r="G29" i="1"/>
  <c r="F29" i="1"/>
  <c r="E29" i="1"/>
  <c r="D29" i="1"/>
  <c r="C29" i="1"/>
  <c r="B29" i="1"/>
  <c r="H28" i="1"/>
  <c r="G28" i="1"/>
  <c r="F28" i="1"/>
  <c r="E28" i="1"/>
  <c r="D28" i="1"/>
  <c r="C28" i="1"/>
  <c r="B28" i="1"/>
  <c r="H27" i="1"/>
  <c r="G27" i="1"/>
  <c r="F27" i="1"/>
  <c r="E27" i="1"/>
  <c r="D27" i="1"/>
  <c r="C27" i="1"/>
  <c r="B27" i="1"/>
  <c r="H26" i="1"/>
  <c r="G26" i="1"/>
  <c r="F26" i="1"/>
  <c r="E26" i="1"/>
  <c r="D26" i="1"/>
  <c r="C26" i="1"/>
  <c r="B26" i="1"/>
  <c r="H25" i="1"/>
  <c r="G25" i="1"/>
  <c r="F25" i="1"/>
  <c r="E25" i="1"/>
  <c r="D25" i="1"/>
  <c r="C25" i="1"/>
  <c r="B25" i="1"/>
  <c r="X21" i="1"/>
  <c r="W21" i="1"/>
  <c r="V21" i="1"/>
  <c r="U21" i="1"/>
  <c r="T21" i="1"/>
  <c r="S21" i="1"/>
  <c r="R21" i="1"/>
  <c r="X20" i="1"/>
  <c r="W20" i="1"/>
  <c r="V20" i="1"/>
  <c r="U20" i="1"/>
  <c r="T20" i="1"/>
  <c r="S20" i="1"/>
  <c r="R20" i="1"/>
  <c r="X19" i="1"/>
  <c r="W19" i="1"/>
  <c r="V19" i="1"/>
  <c r="U19" i="1"/>
  <c r="T19" i="1"/>
  <c r="S19" i="1"/>
  <c r="R19" i="1"/>
  <c r="X18" i="1"/>
  <c r="W18" i="1"/>
  <c r="V18" i="1"/>
  <c r="U18" i="1"/>
  <c r="T18" i="1"/>
  <c r="S18" i="1"/>
  <c r="R18" i="1"/>
  <c r="X17" i="1"/>
  <c r="W17" i="1"/>
  <c r="V17" i="1"/>
  <c r="U17" i="1"/>
  <c r="T17" i="1"/>
  <c r="S17" i="1"/>
  <c r="R17" i="1"/>
  <c r="X16" i="1"/>
  <c r="W16" i="1"/>
  <c r="V16" i="1"/>
  <c r="U16" i="1"/>
  <c r="T16" i="1"/>
  <c r="S16" i="1"/>
  <c r="R16" i="1"/>
  <c r="P21" i="1"/>
  <c r="O21" i="1"/>
  <c r="N21" i="1"/>
  <c r="M21" i="1"/>
  <c r="L21" i="1"/>
  <c r="K21" i="1"/>
  <c r="J21" i="1"/>
  <c r="P20" i="1"/>
  <c r="O20" i="1"/>
  <c r="N20" i="1"/>
  <c r="M20" i="1"/>
  <c r="L20" i="1"/>
  <c r="K20" i="1"/>
  <c r="J20" i="1"/>
  <c r="P19" i="1"/>
  <c r="O19" i="1"/>
  <c r="N19" i="1"/>
  <c r="M19" i="1"/>
  <c r="L19" i="1"/>
  <c r="K19" i="1"/>
  <c r="J19" i="1"/>
  <c r="P18" i="1"/>
  <c r="O18" i="1"/>
  <c r="N18" i="1"/>
  <c r="M18" i="1"/>
  <c r="L18" i="1"/>
  <c r="K18" i="1"/>
  <c r="J18" i="1"/>
  <c r="P17" i="1"/>
  <c r="O17" i="1"/>
  <c r="N17" i="1"/>
  <c r="M17" i="1"/>
  <c r="L17" i="1"/>
  <c r="K17" i="1"/>
  <c r="J17" i="1"/>
  <c r="P16" i="1"/>
  <c r="O16" i="1"/>
  <c r="N16" i="1"/>
  <c r="M16" i="1"/>
  <c r="L16" i="1"/>
  <c r="K16" i="1"/>
  <c r="J16" i="1"/>
  <c r="H21" i="1"/>
  <c r="G21" i="1"/>
  <c r="F21" i="1"/>
  <c r="E21" i="1"/>
  <c r="D21" i="1"/>
  <c r="C21" i="1"/>
  <c r="B21" i="1"/>
  <c r="H20" i="1"/>
  <c r="G20" i="1"/>
  <c r="F20" i="1"/>
  <c r="E20" i="1"/>
  <c r="D20" i="1"/>
  <c r="C20" i="1"/>
  <c r="B20" i="1"/>
  <c r="H19" i="1"/>
  <c r="G19" i="1"/>
  <c r="F19" i="1"/>
  <c r="E19" i="1"/>
  <c r="D19" i="1"/>
  <c r="C19" i="1"/>
  <c r="B19" i="1"/>
  <c r="H18" i="1"/>
  <c r="G18" i="1"/>
  <c r="F18" i="1"/>
  <c r="E18" i="1"/>
  <c r="D18" i="1"/>
  <c r="C18" i="1"/>
  <c r="B18" i="1"/>
  <c r="H17" i="1"/>
  <c r="G17" i="1"/>
  <c r="F17" i="1"/>
  <c r="E17" i="1"/>
  <c r="D17" i="1"/>
  <c r="C17" i="1"/>
  <c r="B17" i="1"/>
  <c r="H16" i="1"/>
  <c r="G16" i="1"/>
  <c r="F16" i="1"/>
  <c r="E16" i="1"/>
  <c r="D16" i="1"/>
  <c r="C16" i="1"/>
  <c r="B16" i="1"/>
  <c r="X12" i="1"/>
  <c r="W12" i="1"/>
  <c r="V12" i="1"/>
  <c r="U12" i="1"/>
  <c r="T12" i="1"/>
  <c r="S12" i="1"/>
  <c r="R12" i="1"/>
  <c r="X11" i="1"/>
  <c r="W11" i="1"/>
  <c r="V11" i="1"/>
  <c r="U11" i="1"/>
  <c r="T11" i="1"/>
  <c r="S11" i="1"/>
  <c r="R11" i="1"/>
  <c r="X10" i="1"/>
  <c r="W10" i="1"/>
  <c r="V10" i="1"/>
  <c r="U10" i="1"/>
  <c r="T10" i="1"/>
  <c r="S10" i="1"/>
  <c r="R10" i="1"/>
  <c r="X9" i="1"/>
  <c r="W9" i="1"/>
  <c r="V9" i="1"/>
  <c r="U9" i="1"/>
  <c r="T9" i="1"/>
  <c r="S9" i="1"/>
  <c r="R9" i="1"/>
  <c r="X8" i="1"/>
  <c r="W8" i="1"/>
  <c r="V8" i="1"/>
  <c r="U8" i="1"/>
  <c r="T8" i="1"/>
  <c r="S8" i="1"/>
  <c r="R8" i="1"/>
  <c r="X7" i="1"/>
  <c r="W7" i="1"/>
  <c r="V7" i="1"/>
  <c r="U7" i="1"/>
  <c r="T7" i="1"/>
  <c r="S7" i="1"/>
  <c r="R7" i="1"/>
  <c r="P12" i="1"/>
  <c r="O12" i="1"/>
  <c r="N12" i="1"/>
  <c r="M12" i="1"/>
  <c r="L12" i="1"/>
  <c r="K12" i="1"/>
  <c r="J12" i="1"/>
  <c r="P11" i="1"/>
  <c r="O11" i="1"/>
  <c r="N11" i="1"/>
  <c r="M11" i="1"/>
  <c r="L11" i="1"/>
  <c r="K11" i="1"/>
  <c r="J11" i="1"/>
  <c r="P10" i="1"/>
  <c r="O10" i="1"/>
  <c r="N10" i="1"/>
  <c r="M10" i="1"/>
  <c r="L10" i="1"/>
  <c r="K10" i="1"/>
  <c r="J10" i="1"/>
  <c r="P9" i="1"/>
  <c r="O9" i="1"/>
  <c r="N9" i="1"/>
  <c r="M9" i="1"/>
  <c r="L9" i="1"/>
  <c r="K9" i="1"/>
  <c r="J9" i="1"/>
  <c r="P8" i="1"/>
  <c r="O8" i="1"/>
  <c r="N8" i="1"/>
  <c r="M8" i="1"/>
  <c r="L8" i="1"/>
  <c r="K8" i="1"/>
  <c r="J8" i="1"/>
  <c r="P7" i="1"/>
  <c r="O7" i="1"/>
  <c r="N7" i="1"/>
  <c r="M7" i="1"/>
  <c r="L7" i="1"/>
  <c r="K7" i="1"/>
  <c r="J7" i="1"/>
  <c r="H12" i="1"/>
  <c r="G12" i="1"/>
  <c r="F12" i="1"/>
  <c r="E12" i="1"/>
  <c r="D12" i="1"/>
  <c r="C12" i="1"/>
  <c r="B12" i="1"/>
  <c r="H11" i="1"/>
  <c r="G11" i="1"/>
  <c r="F11" i="1"/>
  <c r="E11" i="1"/>
  <c r="D11" i="1"/>
  <c r="C11" i="1"/>
  <c r="B11" i="1"/>
  <c r="H10" i="1"/>
  <c r="G10" i="1"/>
  <c r="F10" i="1"/>
  <c r="E10" i="1"/>
  <c r="D10" i="1"/>
  <c r="C10" i="1"/>
  <c r="B10" i="1"/>
  <c r="H9" i="1"/>
  <c r="G9" i="1"/>
  <c r="F9" i="1"/>
  <c r="E9" i="1"/>
  <c r="D9" i="1"/>
  <c r="C9" i="1"/>
  <c r="B9" i="1"/>
  <c r="H8" i="1"/>
  <c r="G8" i="1"/>
  <c r="F8" i="1"/>
  <c r="E8" i="1"/>
  <c r="D8" i="1"/>
  <c r="C8" i="1"/>
  <c r="B8" i="1"/>
  <c r="H7" i="1"/>
  <c r="G7" i="1"/>
  <c r="F7" i="1"/>
  <c r="E7" i="1"/>
  <c r="D7" i="1"/>
  <c r="C7" i="1"/>
  <c r="B7" i="1"/>
  <c r="B2" i="1"/>
  <c r="B1" i="1"/>
  <c r="I15" i="2"/>
  <c r="I13" i="2"/>
  <c r="I11" i="2"/>
  <c r="I9" i="2"/>
  <c r="I7" i="2"/>
  <c r="E15" i="2"/>
  <c r="G14" i="2"/>
  <c r="D14" i="2"/>
  <c r="E13" i="2"/>
  <c r="F13" i="2" s="1"/>
  <c r="D13" i="2"/>
  <c r="K8" i="3" s="1"/>
  <c r="G12" i="2"/>
  <c r="E12" i="2"/>
  <c r="G10" i="2"/>
  <c r="D10" i="2"/>
  <c r="E9" i="2"/>
  <c r="D9" i="2"/>
  <c r="K6" i="3" s="1"/>
  <c r="G8" i="2"/>
  <c r="E8" i="2"/>
  <c r="F8" i="2" s="1"/>
  <c r="D8" i="2"/>
  <c r="I8" i="2" s="1"/>
  <c r="E7" i="2"/>
  <c r="F7" i="2" s="1"/>
  <c r="D7" i="2"/>
  <c r="K5" i="3" s="1"/>
  <c r="G6" i="2"/>
  <c r="E6" i="2"/>
  <c r="F6" i="2" s="1"/>
  <c r="D6" i="2"/>
  <c r="I6" i="2" s="1"/>
  <c r="B3" i="2"/>
  <c r="K22" i="4"/>
  <c r="K21" i="4"/>
  <c r="K20" i="4"/>
  <c r="K19" i="4"/>
  <c r="K18" i="4"/>
  <c r="K17" i="4"/>
  <c r="K16" i="4"/>
  <c r="K15" i="4"/>
  <c r="K14" i="4"/>
  <c r="K13" i="4"/>
  <c r="K12" i="4"/>
  <c r="K11" i="4"/>
  <c r="K10" i="4"/>
  <c r="K9" i="4"/>
  <c r="K8" i="4"/>
  <c r="K7" i="4"/>
  <c r="K6" i="4"/>
  <c r="K5" i="4"/>
  <c r="F13" i="4"/>
  <c r="F12" i="4"/>
  <c r="F11" i="4"/>
  <c r="F10" i="4"/>
  <c r="N9" i="4" s="1"/>
  <c r="I7" i="4"/>
  <c r="H7" i="4"/>
  <c r="G7" i="4"/>
  <c r="F7" i="4"/>
  <c r="I6" i="4"/>
  <c r="N8" i="4" s="1"/>
  <c r="D12" i="2" s="1"/>
  <c r="I12" i="2" s="1"/>
  <c r="H6" i="4"/>
  <c r="N7" i="4" s="1"/>
  <c r="E11" i="2" s="1"/>
  <c r="F11" i="2" s="1"/>
  <c r="G6" i="4"/>
  <c r="N6" i="4" s="1"/>
  <c r="D11" i="2" s="1"/>
  <c r="F6" i="4"/>
  <c r="N5" i="4" s="1"/>
  <c r="E10" i="2" s="1"/>
  <c r="F10" i="2" s="1"/>
  <c r="I5" i="4"/>
  <c r="H5" i="4"/>
  <c r="G5" i="4"/>
  <c r="F5" i="4"/>
  <c r="G9" i="2" l="1"/>
  <c r="J6" i="3" s="1"/>
  <c r="L6" i="3" s="1"/>
  <c r="F9" i="2"/>
  <c r="G13" i="2"/>
  <c r="J8" i="3" s="1"/>
  <c r="L8" i="3" s="1"/>
  <c r="G7" i="2"/>
  <c r="E14" i="2"/>
  <c r="D15" i="2"/>
  <c r="G11" i="2"/>
  <c r="J7" i="3" s="1"/>
  <c r="K7" i="3"/>
  <c r="I10" i="2"/>
  <c r="F12" i="2"/>
  <c r="F19" i="2" l="1"/>
  <c r="J5" i="3"/>
  <c r="L5" i="3" s="1"/>
  <c r="I14" i="2"/>
  <c r="F18" i="2" s="1"/>
  <c r="F14" i="2"/>
  <c r="F15" i="2"/>
  <c r="F5" i="3"/>
  <c r="G5" i="3" s="1"/>
  <c r="F7" i="3"/>
  <c r="G7" i="3" s="1"/>
  <c r="F9" i="3"/>
  <c r="G9" i="3" s="1"/>
  <c r="F8" i="3"/>
  <c r="G8" i="3" s="1"/>
  <c r="F6" i="3"/>
  <c r="G6" i="3" s="1"/>
  <c r="F10" i="3"/>
  <c r="G10" i="3" s="1"/>
  <c r="K9" i="3"/>
  <c r="G15" i="2"/>
  <c r="L7" i="3"/>
  <c r="F20" i="2" l="1"/>
  <c r="J9" i="3"/>
  <c r="L9" i="3" s="1"/>
</calcChain>
</file>

<file path=xl/sharedStrings.xml><?xml version="1.0" encoding="utf-8"?>
<sst xmlns="http://schemas.openxmlformats.org/spreadsheetml/2006/main" count="207" uniqueCount="109">
  <si>
    <t>Setări</t>
  </si>
  <si>
    <t>Alege săptămâna vacanței din februarie stabilită de inspectoratul școlar din județul tău și tipul clasei. Calendarul se actualizează singur.</t>
  </si>
  <si>
    <t>Județul</t>
  </si>
  <si>
    <t>București</t>
  </si>
  <si>
    <t>Vacanța din februarie (decizia ISJ / ISMB)</t>
  </si>
  <si>
    <t>22–28 februarie 2027</t>
  </si>
  <si>
    <t>Clasa</t>
  </si>
  <si>
    <t>Clasele 0–VII, IX–XI (liceu teoretic)</t>
  </si>
  <si>
    <t>Opțiuni februarie</t>
  </si>
  <si>
    <t>Ultima zi de curs</t>
  </si>
  <si>
    <t>Prima zi de vacanță</t>
  </si>
  <si>
    <t>Ultima zi de vacanță</t>
  </si>
  <si>
    <t>Reluarea cursurilor</t>
  </si>
  <si>
    <t>15–21 februarie 2027</t>
  </si>
  <si>
    <t>1–7 martie 2027</t>
  </si>
  <si>
    <t>Săptămâni de cursuri</t>
  </si>
  <si>
    <t>Clasa a VIII-a</t>
  </si>
  <si>
    <t>Clasa a XII-a (zi), a XIII-a seral și FR</t>
  </si>
  <si>
    <t>Liceu tehnologic (fără clasa a IX-a) și învățământ profesional</t>
  </si>
  <si>
    <t>Zile fără cursuri</t>
  </si>
  <si>
    <t>Motiv</t>
  </si>
  <si>
    <t>Ziua internațională a educației</t>
  </si>
  <si>
    <t>Sfântul Andrei</t>
  </si>
  <si>
    <t>Ziua Națională</t>
  </si>
  <si>
    <t>Crăciunul</t>
  </si>
  <si>
    <t>A doua zi de Crăciun</t>
  </si>
  <si>
    <t>Anul Nou</t>
  </si>
  <si>
    <t>Boboteaza</t>
  </si>
  <si>
    <t>Sfântul Ioan</t>
  </si>
  <si>
    <t>Ziua Unirii</t>
  </si>
  <si>
    <t>Vinerea Mare</t>
  </si>
  <si>
    <t>Ziua Muncii</t>
  </si>
  <si>
    <t>Paștele</t>
  </si>
  <si>
    <t>A doua zi de Paște</t>
  </si>
  <si>
    <t>Ziua Copilului</t>
  </si>
  <si>
    <t>Rusaliile</t>
  </si>
  <si>
    <t>A doua zi de Rusalii</t>
  </si>
  <si>
    <t>Adormirea Maicii Domnului</t>
  </si>
  <si>
    <t>Datele vin din Ordinul ministrului educației și cercetării nr. 3.194/2026. Săptămâna din februarie o stabilește inspectoratul școlar județean: verific-o pe site-ul ISJ.</t>
  </si>
  <si>
    <t>Calcul</t>
  </si>
  <si>
    <t>Structura anului școlar 2026–2027</t>
  </si>
  <si>
    <t>Intervalele de cursuri și de vacanță, cu zilele lucrătoare pe care trebuie să le acopere un părinte care vrea să stea acasă cu copilul.</t>
  </si>
  <si>
    <t>Interval</t>
  </si>
  <si>
    <t>Tip</t>
  </si>
  <si>
    <t>De la</t>
  </si>
  <si>
    <t>Până la</t>
  </si>
  <si>
    <t>Zile calendaristice</t>
  </si>
  <si>
    <t>Zile lucrătoare (concediu pentru un părinte)</t>
  </si>
  <si>
    <t>Observații</t>
  </si>
  <si>
    <t>Modulul 1</t>
  </si>
  <si>
    <t>Cursuri</t>
  </si>
  <si>
    <t>Pe 5 octombrie (Ziua educației) nu se fac cursuri</t>
  </si>
  <si>
    <t>Vacanța de toamnă</t>
  </si>
  <si>
    <t>Vacanță</t>
  </si>
  <si>
    <t>Modulul 2</t>
  </si>
  <si>
    <t>30 noiembrie și 1 decembrie sunt zile libere</t>
  </si>
  <si>
    <t>Vacanța de iarnă</t>
  </si>
  <si>
    <t>Modulul 3</t>
  </si>
  <si>
    <t>Vacanța din februarie</t>
  </si>
  <si>
    <t>Săptămâna stabilită de ISJ / ISMB</t>
  </si>
  <si>
    <t>Modulul 4</t>
  </si>
  <si>
    <t>Vacanța de primăvară</t>
  </si>
  <si>
    <t>Include Paștele (2 mai 2027) și 1 Mai</t>
  </si>
  <si>
    <t>Modulul 5</t>
  </si>
  <si>
    <t>1 iunie (Ziua Copilului) este zi liberă</t>
  </si>
  <si>
    <t>Vacanța de vară</t>
  </si>
  <si>
    <t>Pentru clasele VIII și XII urmează examenele naționale</t>
  </si>
  <si>
    <t>Pe scurt</t>
  </si>
  <si>
    <t>Zile de școală (fără zilele libere)</t>
  </si>
  <si>
    <t>Zile lucrătoare de vacanță din septembrie până la vacanța de vară</t>
  </si>
  <si>
    <t>Zile lucrătoare de vacanță vara (până pe 5 septembrie)</t>
  </si>
  <si>
    <t>Un părinte are, de regulă, cel puțin 20 de zile lucrătoare de concediu de odihnă pe an (Codul muncii, art. 145). Vacanțele școlare din timpul anului depășesc acest număr, așa că merită împărțite între părinți.</t>
  </si>
  <si>
    <t>Sărbătoare / fără cursuri</t>
  </si>
  <si>
    <t>Weekend</t>
  </si>
  <si>
    <t>Septembrie 2026</t>
  </si>
  <si>
    <t>L</t>
  </si>
  <si>
    <t>Ma</t>
  </si>
  <si>
    <t>Mi</t>
  </si>
  <si>
    <t>J</t>
  </si>
  <si>
    <t>V</t>
  </si>
  <si>
    <t>S</t>
  </si>
  <si>
    <t>D</t>
  </si>
  <si>
    <t>Octombrie 2026</t>
  </si>
  <si>
    <t>Noiembrie 2026</t>
  </si>
  <si>
    <t>Decembrie 2026</t>
  </si>
  <si>
    <t>Ianuarie 2027</t>
  </si>
  <si>
    <t>Februarie 2027</t>
  </si>
  <si>
    <t>Martie 2027</t>
  </si>
  <si>
    <t>Aprilie 2027</t>
  </si>
  <si>
    <t>Mai 2027</t>
  </si>
  <si>
    <t>Iunie 2027</t>
  </si>
  <si>
    <t>Iulie 2027</t>
  </si>
  <si>
    <t>August 2027</t>
  </si>
  <si>
    <t>Concediile familiei și vacanțele școlare</t>
  </si>
  <si>
    <t>Treci concediile planificate ale părinților (sau ale bunicilor). Modelul arată câte zile din fiecare vacanță sunt acoperite și ce rămâne descoperit.</t>
  </si>
  <si>
    <t>Persoana</t>
  </si>
  <si>
    <t>Zile lucrătoare de concediu</t>
  </si>
  <si>
    <t>Zile de vacanță acoperite</t>
  </si>
  <si>
    <t>Ana (mama)</t>
  </si>
  <si>
    <t>Mihai (tata)</t>
  </si>
  <si>
    <t>Bunica</t>
  </si>
  <si>
    <t>Vacanța</t>
  </si>
  <si>
    <t>Zile lucrătoare</t>
  </si>
  <si>
    <t>Acoperite de concedii</t>
  </si>
  <si>
    <t>Descoperite</t>
  </si>
  <si>
    <t>Zilele „descoperite” sunt zile lucrătoare de vacanță în care niciun adult din listă nu are concediu.</t>
  </si>
  <si>
    <t>© 2026 Ray Moreno – modelexcel.ro</t>
  </si>
  <si>
    <t>Model gratuit: îl poți folosi și adapta în activitatea ta. Nu este permisă revânzarea lui sau publicarea pe alte site-uri.</t>
  </si>
  <si>
    <t>Instrucțiuni și alte modele: modelexcel.ro/vacante-scolare-2027/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</si>
</sst>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17" x14ac:knownFonts="1">
    <font>
      <sz val="11"/>
      <color theme="1"/>
      <name val="Aptos Narrow"/>
      <family val="2"/>
      <scheme val="minor"/>
    </font>
    <font>
      <sz val="10"/>
      <color theme="1"/>
      <name val="Calibri"/>
      <family val="2"/>
    </font>
    <font>
      <b/>
      <sz val="16"/>
      <color rgb="FF6A1B9A"/>
      <name val="Calibri"/>
      <family val="2"/>
    </font>
    <font>
      <i/>
      <sz val="10"/>
      <color rgb="FF5D6B64"/>
      <name val="Calibri"/>
      <family val="2"/>
    </font>
    <font>
      <b/>
      <sz val="10"/>
      <color theme="1"/>
      <name val="Calibri"/>
      <family val="2"/>
    </font>
    <font>
      <b/>
      <sz val="10"/>
      <color rgb="FFFFFFFF"/>
      <name val="Calibri"/>
      <family val="2"/>
    </font>
    <font>
      <sz val="10"/>
      <color rgb="FFFFFFFF"/>
      <name val="Calibri"/>
      <family val="2"/>
    </font>
    <font>
      <b/>
      <sz val="10"/>
      <color rgb="FF6A1B9A"/>
      <name val="Calibri"/>
      <family val="2"/>
    </font>
    <font>
      <b/>
      <sz val="12"/>
      <color rgb="FF6A1B9A"/>
      <name val="Calibri"/>
      <family val="2"/>
    </font>
    <font>
      <sz val="10"/>
      <color rgb="FF5D6B64"/>
      <name val="Calibri"/>
      <family val="2"/>
    </font>
    <font>
      <b/>
      <sz val="10"/>
      <color rgb="FF5D6B64"/>
      <name val="Calibri"/>
      <family val="2"/>
    </font>
    <font>
      <sz val="9"/>
      <color theme="1"/>
      <name val="Calibri"/>
      <family val="2"/>
    </font>
    <font>
      <sz val="10"/>
      <color rgb="FFB4322A"/>
      <name val="Calibri"/>
      <family val="2"/>
    </font>
    <font>
      <b/>
      <sz val="9"/>
      <color rgb="FF6D6D6D"/>
      <name val="Calibri"/>
      <family val="2"/>
    </font>
    <font>
      <i/>
      <sz val="9"/>
      <color rgb="FF6D6D6D"/>
      <name val="Calibri"/>
      <family val="2"/>
    </font>
    <font>
      <u/>
      <sz val="11"/>
      <color theme="10"/>
      <name val="Aptos Narrow"/>
      <family val="2"/>
      <scheme val="minor"/>
    </font>
    <font>
      <u/>
      <sz val="9"/>
      <color theme="10"/>
      <name val="Aptos Narrow"/>
      <family val="2"/>
      <scheme val="minor"/>
    </font>
  </fonts>
  <fills count="8">
    <fill>
      <patternFill patternType="none"/>
    </fill>
    <fill>
      <patternFill patternType="gray125"/>
    </fill>
    <fill>
      <patternFill patternType="solid">
        <fgColor rgb="FFFCF7FD"/>
        <bgColor indexed="64"/>
      </patternFill>
    </fill>
    <fill>
      <patternFill patternType="solid">
        <fgColor rgb="FF6A1B9A"/>
        <bgColor indexed="64"/>
      </patternFill>
    </fill>
    <fill>
      <patternFill patternType="solid">
        <fgColor rgb="FFFFFFFF"/>
        <bgColor indexed="64"/>
      </patternFill>
    </fill>
    <fill>
      <patternFill patternType="solid">
        <fgColor rgb="FFA5E6C9"/>
        <bgColor indexed="64"/>
      </patternFill>
    </fill>
    <fill>
      <patternFill patternType="solid">
        <fgColor rgb="FFF49C9C"/>
        <bgColor indexed="64"/>
      </patternFill>
    </fill>
    <fill>
      <patternFill patternType="solid">
        <fgColor rgb="FFE6E6E6"/>
        <bgColor indexed="64"/>
      </patternFill>
    </fill>
  </fills>
  <borders count="3">
    <border>
      <left/>
      <right/>
      <top/>
      <bottom/>
      <diagonal/>
    </border>
    <border>
      <left style="thin">
        <color rgb="FFD2DCD9"/>
      </left>
      <right style="thin">
        <color rgb="FFD2DCD9"/>
      </right>
      <top style="thin">
        <color rgb="FFD2DCD9"/>
      </top>
      <bottom style="thin">
        <color rgb="FFD2DCD9"/>
      </bottom>
      <diagonal/>
    </border>
    <border>
      <left style="thin">
        <color rgb="FFEEEEEE"/>
      </left>
      <right style="thin">
        <color rgb="FFEEEEEE"/>
      </right>
      <top style="thin">
        <color rgb="FFEEEEEE"/>
      </top>
      <bottom style="thin">
        <color rgb="FFEEEEEE"/>
      </bottom>
      <diagonal/>
    </border>
  </borders>
  <cellStyleXfs count="2">
    <xf numFmtId="0" fontId="0" fillId="0" borderId="0"/>
    <xf numFmtId="0" fontId="15" fillId="0" borderId="0" applyNumberFormat="0" applyFill="0" applyBorder="0" applyAlignment="0" applyProtection="0"/>
  </cellStyleXfs>
  <cellXfs count="4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0" borderId="1" xfId="0" applyFont="1" applyBorder="1"/>
    <xf numFmtId="0" fontId="1" fillId="2" borderId="1" xfId="0" applyFont="1" applyFill="1" applyBorder="1"/>
    <xf numFmtId="0" fontId="5" fillId="3" borderId="1" xfId="0" applyFont="1" applyFill="1" applyBorder="1" applyAlignment="1">
      <alignment horizontal="center" vertical="center" wrapText="1"/>
    </xf>
    <xf numFmtId="0" fontId="1" fillId="0" borderId="1" xfId="0" applyFont="1" applyBorder="1"/>
    <xf numFmtId="14" fontId="1" fillId="0" borderId="1" xfId="0" applyNumberFormat="1" applyFont="1" applyBorder="1"/>
    <xf numFmtId="14" fontId="1" fillId="2" borderId="1" xfId="0" applyNumberFormat="1" applyFont="1" applyFill="1" applyBorder="1"/>
    <xf numFmtId="0" fontId="6" fillId="0" borderId="0" xfId="0" applyFont="1"/>
    <xf numFmtId="14" fontId="6" fillId="0" borderId="0" xfId="0" applyNumberFormat="1" applyFont="1"/>
    <xf numFmtId="0" fontId="1" fillId="0" borderId="1" xfId="0" applyFont="1" applyBorder="1" applyAlignment="1">
      <alignment vertical="top"/>
    </xf>
    <xf numFmtId="14" fontId="1" fillId="0" borderId="1" xfId="0" applyNumberFormat="1" applyFont="1" applyBorder="1" applyAlignment="1">
      <alignment horizontal="center" vertical="top"/>
    </xf>
    <xf numFmtId="1" fontId="1" fillId="0" borderId="1" xfId="0" applyNumberFormat="1" applyFont="1" applyBorder="1" applyAlignment="1">
      <alignment horizontal="center" vertical="top"/>
    </xf>
    <xf numFmtId="0" fontId="1" fillId="0" borderId="1" xfId="0" applyFont="1" applyBorder="1" applyAlignment="1">
      <alignment vertical="top" wrapText="1"/>
    </xf>
    <xf numFmtId="0" fontId="7" fillId="0" borderId="0" xfId="0" applyFont="1"/>
    <xf numFmtId="0" fontId="8" fillId="0" borderId="1" xfId="0" applyFont="1" applyBorder="1" applyAlignment="1">
      <alignment horizontal="center"/>
    </xf>
    <xf numFmtId="1" fontId="8" fillId="0" borderId="1" xfId="0" applyNumberFormat="1" applyFont="1" applyBorder="1" applyAlignment="1">
      <alignment horizontal="center"/>
    </xf>
    <xf numFmtId="0" fontId="9" fillId="0" borderId="0" xfId="0" applyFont="1"/>
    <xf numFmtId="0" fontId="10" fillId="0" borderId="0" xfId="0" applyFont="1" applyAlignment="1">
      <alignment horizontal="center"/>
    </xf>
    <xf numFmtId="164" fontId="1" fillId="0" borderId="2" xfId="0" applyNumberFormat="1" applyFont="1" applyBorder="1" applyAlignment="1">
      <alignment horizontal="center"/>
    </xf>
    <xf numFmtId="0" fontId="11" fillId="4" borderId="1" xfId="0" applyFont="1" applyFill="1" applyBorder="1"/>
    <xf numFmtId="0" fontId="11" fillId="0" borderId="0" xfId="0" applyFont="1"/>
    <xf numFmtId="0" fontId="11" fillId="5" borderId="1" xfId="0" applyFont="1" applyFill="1" applyBorder="1"/>
    <xf numFmtId="0" fontId="11" fillId="6" borderId="1" xfId="0" applyFont="1" applyFill="1" applyBorder="1"/>
    <xf numFmtId="0" fontId="11" fillId="7" borderId="1" xfId="0" applyFont="1" applyFill="1" applyBorder="1"/>
    <xf numFmtId="14" fontId="1" fillId="2" borderId="1" xfId="0" applyNumberFormat="1" applyFont="1" applyFill="1" applyBorder="1" applyAlignment="1">
      <alignment horizontal="center"/>
    </xf>
    <xf numFmtId="0" fontId="1" fillId="0" borderId="1" xfId="0" applyFont="1" applyBorder="1" applyAlignment="1">
      <alignment horizontal="center"/>
    </xf>
    <xf numFmtId="0" fontId="12" fillId="0" borderId="1" xfId="0" applyFont="1" applyBorder="1"/>
    <xf numFmtId="1" fontId="1" fillId="0" borderId="1" xfId="0" applyNumberFormat="1" applyFont="1" applyBorder="1" applyAlignment="1">
      <alignment horizontal="center"/>
    </xf>
    <xf numFmtId="0" fontId="5" fillId="3" borderId="0" xfId="0" quotePrefix="1" applyFont="1" applyFill="1" applyAlignment="1">
      <alignment horizontal="center"/>
    </xf>
    <xf numFmtId="0" fontId="5" fillId="3" borderId="0" xfId="0" applyFont="1" applyFill="1" applyAlignment="1">
      <alignment horizontal="center"/>
    </xf>
    <xf numFmtId="0" fontId="1" fillId="0" borderId="1" xfId="0" applyFont="1" applyBorder="1"/>
    <xf numFmtId="0" fontId="3" fillId="0" borderId="0" xfId="0" applyFont="1" applyAlignment="1">
      <alignment wrapText="1"/>
    </xf>
    <xf numFmtId="0" fontId="1" fillId="0" borderId="0" xfId="0" applyFont="1" applyAlignment="1">
      <alignment wrapText="1"/>
    </xf>
    <xf numFmtId="0" fontId="13" fillId="0" borderId="0" xfId="0" applyFont="1" applyAlignment="1">
      <alignment horizontal="left"/>
    </xf>
    <xf numFmtId="0" fontId="14" fillId="0" borderId="0" xfId="0" applyFont="1" applyAlignment="1">
      <alignment horizontal="left"/>
    </xf>
    <xf numFmtId="0" fontId="16" fillId="0" borderId="0" xfId="1" applyFont="1" applyAlignment="1">
      <alignment horizontal="left"/>
    </xf>
  </cellXfs>
  <cellStyles count="2">
    <cellStyle name="Hipervínculo" xfId="1" builtinId="8"/>
    <cellStyle name="Normal" xfId="0" builtinId="0"/>
  </cellStyles>
  <dxfs count="51">
    <dxf>
      <font>
        <b/>
        <i val="0"/>
        <color rgb="FF327D2E"/>
      </font>
    </dxf>
    <dxf>
      <font>
        <b/>
        <i val="0"/>
        <color rgb="FFFFFFFF"/>
      </font>
      <fill>
        <patternFill>
          <bgColor rgb="FFB4322A"/>
        </patternFill>
      </fill>
    </dxf>
    <dxf>
      <font>
        <b/>
        <i val="0"/>
      </font>
      <fill>
        <patternFill>
          <bgColor rgb="FFA5E6C9"/>
        </patternFill>
      </fill>
    </dxf>
    <dxf>
      <font>
        <color rgb="FFA0A0A0"/>
      </font>
    </dxf>
    <dxf>
      <fill>
        <patternFill>
          <bgColor rgb="FFA5E6C9"/>
        </patternFill>
      </fill>
    </dxf>
    <dxf>
      <font>
        <color rgb="FF808080"/>
      </font>
      <fill>
        <patternFill>
          <bgColor rgb="FFE6E6E6"/>
        </patternFill>
      </fill>
    </dxf>
    <dxf>
      <font>
        <b/>
        <i val="0"/>
      </font>
      <fill>
        <patternFill>
          <bgColor rgb="FFF49C9C"/>
        </patternFill>
      </fill>
    </dxf>
    <dxf>
      <font>
        <color rgb="FFA0A0A0"/>
      </font>
    </dxf>
    <dxf>
      <fill>
        <patternFill>
          <bgColor rgb="FFA5E6C9"/>
        </patternFill>
      </fill>
    </dxf>
    <dxf>
      <font>
        <color rgb="FF808080"/>
      </font>
      <fill>
        <patternFill>
          <bgColor rgb="FFE6E6E6"/>
        </patternFill>
      </fill>
    </dxf>
    <dxf>
      <font>
        <b/>
        <i val="0"/>
      </font>
      <fill>
        <patternFill>
          <bgColor rgb="FFF49C9C"/>
        </patternFill>
      </fill>
    </dxf>
    <dxf>
      <font>
        <b/>
        <i val="0"/>
      </font>
      <fill>
        <patternFill>
          <bgColor rgb="FFF49C9C"/>
        </patternFill>
      </fill>
    </dxf>
    <dxf>
      <font>
        <color rgb="FF808080"/>
      </font>
      <fill>
        <patternFill>
          <bgColor rgb="FFE6E6E6"/>
        </patternFill>
      </fill>
    </dxf>
    <dxf>
      <fill>
        <patternFill>
          <bgColor rgb="FFA5E6C9"/>
        </patternFill>
      </fill>
    </dxf>
    <dxf>
      <font>
        <color rgb="FFA0A0A0"/>
      </font>
    </dxf>
    <dxf>
      <font>
        <color rgb="FF808080"/>
      </font>
      <fill>
        <patternFill>
          <bgColor rgb="FFE6E6E6"/>
        </patternFill>
      </fill>
    </dxf>
    <dxf>
      <fill>
        <patternFill>
          <bgColor rgb="FFA5E6C9"/>
        </patternFill>
      </fill>
    </dxf>
    <dxf>
      <font>
        <color rgb="FFA0A0A0"/>
      </font>
    </dxf>
    <dxf>
      <font>
        <b/>
        <i val="0"/>
      </font>
      <fill>
        <patternFill>
          <bgColor rgb="FFF49C9C"/>
        </patternFill>
      </fill>
    </dxf>
    <dxf>
      <font>
        <color rgb="FFA0A0A0"/>
      </font>
    </dxf>
    <dxf>
      <fill>
        <patternFill>
          <bgColor rgb="FFA5E6C9"/>
        </patternFill>
      </fill>
    </dxf>
    <dxf>
      <font>
        <b/>
        <i val="0"/>
      </font>
      <fill>
        <patternFill>
          <bgColor rgb="FFF49C9C"/>
        </patternFill>
      </fill>
    </dxf>
    <dxf>
      <font>
        <color rgb="FF808080"/>
      </font>
      <fill>
        <patternFill>
          <bgColor rgb="FFE6E6E6"/>
        </patternFill>
      </fill>
    </dxf>
    <dxf>
      <font>
        <color rgb="FFA0A0A0"/>
      </font>
    </dxf>
    <dxf>
      <fill>
        <patternFill>
          <bgColor rgb="FFA5E6C9"/>
        </patternFill>
      </fill>
    </dxf>
    <dxf>
      <font>
        <color rgb="FF808080"/>
      </font>
      <fill>
        <patternFill>
          <bgColor rgb="FFE6E6E6"/>
        </patternFill>
      </fill>
    </dxf>
    <dxf>
      <font>
        <b/>
        <i val="0"/>
      </font>
      <fill>
        <patternFill>
          <bgColor rgb="FFF49C9C"/>
        </patternFill>
      </fill>
    </dxf>
    <dxf>
      <font>
        <color rgb="FFA0A0A0"/>
      </font>
    </dxf>
    <dxf>
      <font>
        <color rgb="FF808080"/>
      </font>
      <fill>
        <patternFill>
          <bgColor rgb="FFE6E6E6"/>
        </patternFill>
      </fill>
    </dxf>
    <dxf>
      <font>
        <b/>
        <i val="0"/>
      </font>
      <fill>
        <patternFill>
          <bgColor rgb="FFF49C9C"/>
        </patternFill>
      </fill>
    </dxf>
    <dxf>
      <fill>
        <patternFill>
          <bgColor rgb="FFA5E6C9"/>
        </patternFill>
      </fill>
    </dxf>
    <dxf>
      <fill>
        <patternFill>
          <bgColor rgb="FFA5E6C9"/>
        </patternFill>
      </fill>
    </dxf>
    <dxf>
      <font>
        <color rgb="FFA0A0A0"/>
      </font>
    </dxf>
    <dxf>
      <font>
        <color rgb="FF808080"/>
      </font>
      <fill>
        <patternFill>
          <bgColor rgb="FFE6E6E6"/>
        </patternFill>
      </fill>
    </dxf>
    <dxf>
      <font>
        <b/>
        <i val="0"/>
      </font>
      <fill>
        <patternFill>
          <bgColor rgb="FFF49C9C"/>
        </patternFill>
      </fill>
    </dxf>
    <dxf>
      <font>
        <color rgb="FF808080"/>
      </font>
      <fill>
        <patternFill>
          <bgColor rgb="FFE6E6E6"/>
        </patternFill>
      </fill>
    </dxf>
    <dxf>
      <fill>
        <patternFill>
          <bgColor rgb="FFA5E6C9"/>
        </patternFill>
      </fill>
    </dxf>
    <dxf>
      <font>
        <color rgb="FFA0A0A0"/>
      </font>
    </dxf>
    <dxf>
      <font>
        <b/>
        <i val="0"/>
      </font>
      <fill>
        <patternFill>
          <bgColor rgb="FFF49C9C"/>
        </patternFill>
      </fill>
    </dxf>
    <dxf>
      <font>
        <color rgb="FF808080"/>
      </font>
      <fill>
        <patternFill>
          <bgColor rgb="FFE6E6E6"/>
        </patternFill>
      </fill>
    </dxf>
    <dxf>
      <font>
        <b/>
        <i val="0"/>
      </font>
      <fill>
        <patternFill>
          <bgColor rgb="FFF49C9C"/>
        </patternFill>
      </fill>
    </dxf>
    <dxf>
      <fill>
        <patternFill>
          <bgColor rgb="FFA5E6C9"/>
        </patternFill>
      </fill>
    </dxf>
    <dxf>
      <font>
        <color rgb="FFA0A0A0"/>
      </font>
    </dxf>
    <dxf>
      <font>
        <color rgb="FFA0A0A0"/>
      </font>
    </dxf>
    <dxf>
      <fill>
        <patternFill>
          <bgColor rgb="FFA5E6C9"/>
        </patternFill>
      </fill>
    </dxf>
    <dxf>
      <font>
        <color rgb="FF808080"/>
      </font>
      <fill>
        <patternFill>
          <bgColor rgb="FFE6E6E6"/>
        </patternFill>
      </fill>
    </dxf>
    <dxf>
      <font>
        <b/>
        <i val="0"/>
      </font>
      <fill>
        <patternFill>
          <bgColor rgb="FFF49C9C"/>
        </patternFill>
      </fill>
    </dxf>
    <dxf>
      <font>
        <color rgb="FFA0A0A0"/>
      </font>
    </dxf>
    <dxf>
      <fill>
        <patternFill>
          <bgColor rgb="FFA5E6C9"/>
        </patternFill>
      </fill>
    </dxf>
    <dxf>
      <font>
        <color rgb="FF808080"/>
      </font>
      <fill>
        <patternFill>
          <bgColor rgb="FFE6E6E6"/>
        </patternFill>
      </fill>
    </dxf>
    <dxf>
      <font>
        <b/>
        <i val="0"/>
      </font>
      <fill>
        <patternFill>
          <bgColor rgb="FFF49C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s://modelexcel.ro/vacante-scolare-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B90F6-A512-4E39-B90C-54EF48A61C8A}">
  <sheetPr>
    <pageSetUpPr fitToPage="1"/>
  </sheetPr>
  <dimension ref="B1:ZZ1000"/>
  <sheetViews>
    <sheetView showGridLines="0" tabSelected="1" workbookViewId="0"/>
  </sheetViews>
  <sheetFormatPr baseColWidth="10" defaultRowHeight="12.75" x14ac:dyDescent="0.2"/>
  <cols>
    <col min="1" max="1" width="2.7109375" style="1" customWidth="1"/>
    <col min="2" max="8" width="4.28515625" style="1" customWidth="1"/>
    <col min="9" max="9" width="2.28515625" style="1" customWidth="1"/>
    <col min="10" max="16" width="4.28515625" style="1" customWidth="1"/>
    <col min="17" max="17" width="2.28515625" style="1" customWidth="1"/>
    <col min="18" max="25" width="4.28515625" style="1" customWidth="1"/>
    <col min="26" max="16384" width="11.42578125" style="1"/>
  </cols>
  <sheetData>
    <row r="1" spans="2:25" ht="21" x14ac:dyDescent="0.35">
      <c r="B1" s="2" t="str">
        <f>"Calendarul anului școlar 2026–2027   ·   "&amp;Judet</f>
        <v>Calendarul anului școlar 2026–2027   ·   București</v>
      </c>
    </row>
    <row r="2" spans="2:25" x14ac:dyDescent="0.2">
      <c r="B2" s="20" t="str">
        <f>"Vacanța din februarie: "&amp;OptFeb&amp;"   ·   "&amp;TipClasa</f>
        <v>Vacanța din februarie: 22–28 februarie 2027   ·   Clasele 0–VII, IX–XI (liceu teoretic)</v>
      </c>
    </row>
    <row r="3" spans="2:25" x14ac:dyDescent="0.2">
      <c r="B3" s="23"/>
      <c r="C3" s="24" t="s">
        <v>50</v>
      </c>
      <c r="D3" s="24"/>
      <c r="E3" s="24"/>
      <c r="F3" s="24"/>
      <c r="G3" s="24"/>
      <c r="H3" s="25"/>
      <c r="I3" s="24" t="s">
        <v>53</v>
      </c>
      <c r="J3" s="24"/>
      <c r="K3" s="24"/>
      <c r="L3" s="24"/>
      <c r="M3" s="24"/>
      <c r="N3" s="26"/>
      <c r="O3" s="24" t="s">
        <v>72</v>
      </c>
      <c r="P3" s="24"/>
      <c r="Q3" s="24"/>
      <c r="R3" s="24"/>
      <c r="S3" s="24"/>
      <c r="T3" s="27"/>
      <c r="U3" s="24" t="s">
        <v>73</v>
      </c>
      <c r="V3" s="24"/>
      <c r="W3" s="24"/>
      <c r="X3" s="24"/>
      <c r="Y3" s="24"/>
    </row>
    <row r="5" spans="2:25" x14ac:dyDescent="0.2">
      <c r="B5" s="32" t="s">
        <v>74</v>
      </c>
      <c r="C5" s="33"/>
      <c r="D5" s="33"/>
      <c r="E5" s="33"/>
      <c r="F5" s="33"/>
      <c r="G5" s="33"/>
      <c r="H5" s="33"/>
      <c r="J5" s="32" t="s">
        <v>82</v>
      </c>
      <c r="K5" s="33"/>
      <c r="L5" s="33"/>
      <c r="M5" s="33"/>
      <c r="N5" s="33"/>
      <c r="O5" s="33"/>
      <c r="P5" s="33"/>
      <c r="R5" s="32" t="s">
        <v>83</v>
      </c>
      <c r="S5" s="33"/>
      <c r="T5" s="33"/>
      <c r="U5" s="33"/>
      <c r="V5" s="33"/>
      <c r="W5" s="33"/>
      <c r="X5" s="33"/>
    </row>
    <row r="6" spans="2:25" x14ac:dyDescent="0.2">
      <c r="B6" s="21" t="s">
        <v>75</v>
      </c>
      <c r="C6" s="21" t="s">
        <v>76</v>
      </c>
      <c r="D6" s="21" t="s">
        <v>77</v>
      </c>
      <c r="E6" s="21" t="s">
        <v>78</v>
      </c>
      <c r="F6" s="21" t="s">
        <v>79</v>
      </c>
      <c r="G6" s="21" t="s">
        <v>80</v>
      </c>
      <c r="H6" s="21" t="s">
        <v>81</v>
      </c>
      <c r="J6" s="21" t="s">
        <v>75</v>
      </c>
      <c r="K6" s="21" t="s">
        <v>76</v>
      </c>
      <c r="L6" s="21" t="s">
        <v>77</v>
      </c>
      <c r="M6" s="21" t="s">
        <v>78</v>
      </c>
      <c r="N6" s="21" t="s">
        <v>79</v>
      </c>
      <c r="O6" s="21" t="s">
        <v>80</v>
      </c>
      <c r="P6" s="21" t="s">
        <v>81</v>
      </c>
      <c r="R6" s="21" t="s">
        <v>75</v>
      </c>
      <c r="S6" s="21" t="s">
        <v>76</v>
      </c>
      <c r="T6" s="21" t="s">
        <v>77</v>
      </c>
      <c r="U6" s="21" t="s">
        <v>78</v>
      </c>
      <c r="V6" s="21" t="s">
        <v>79</v>
      </c>
      <c r="W6" s="21" t="s">
        <v>80</v>
      </c>
      <c r="X6" s="21" t="s">
        <v>81</v>
      </c>
    </row>
    <row r="7" spans="2:25" x14ac:dyDescent="0.2">
      <c r="B7" s="22" t="str">
        <f>IF(MONTH((DATE(2026,9,1)-WEEKDAY(DATE(2026,9,1),2)+1)+0)=9,(DATE(2026,9,1)-WEEKDAY(DATE(2026,9,1),2)+1)+0,"")</f>
        <v/>
      </c>
      <c r="C7" s="22">
        <f>IF(MONTH((DATE(2026,9,1)-WEEKDAY(DATE(2026,9,1),2)+1)+1)=9,(DATE(2026,9,1)-WEEKDAY(DATE(2026,9,1),2)+1)+1,"")</f>
        <v>46266</v>
      </c>
      <c r="D7" s="22">
        <f>IF(MONTH((DATE(2026,9,1)-WEEKDAY(DATE(2026,9,1),2)+1)+2)=9,(DATE(2026,9,1)-WEEKDAY(DATE(2026,9,1),2)+1)+2,"")</f>
        <v>46267</v>
      </c>
      <c r="E7" s="22">
        <f>IF(MONTH((DATE(2026,9,1)-WEEKDAY(DATE(2026,9,1),2)+1)+3)=9,(DATE(2026,9,1)-WEEKDAY(DATE(2026,9,1),2)+1)+3,"")</f>
        <v>46268</v>
      </c>
      <c r="F7" s="22">
        <f>IF(MONTH((DATE(2026,9,1)-WEEKDAY(DATE(2026,9,1),2)+1)+4)=9,(DATE(2026,9,1)-WEEKDAY(DATE(2026,9,1),2)+1)+4,"")</f>
        <v>46269</v>
      </c>
      <c r="G7" s="22">
        <f>IF(MONTH((DATE(2026,9,1)-WEEKDAY(DATE(2026,9,1),2)+1)+5)=9,(DATE(2026,9,1)-WEEKDAY(DATE(2026,9,1),2)+1)+5,"")</f>
        <v>46270</v>
      </c>
      <c r="H7" s="22">
        <f>IF(MONTH((DATE(2026,9,1)-WEEKDAY(DATE(2026,9,1),2)+1)+6)=9,(DATE(2026,9,1)-WEEKDAY(DATE(2026,9,1),2)+1)+6,"")</f>
        <v>46271</v>
      </c>
      <c r="J7" s="22" t="str">
        <f>IF(MONTH((DATE(2026,10,1)-WEEKDAY(DATE(2026,10,1),2)+1)+0)=10,(DATE(2026,10,1)-WEEKDAY(DATE(2026,10,1),2)+1)+0,"")</f>
        <v/>
      </c>
      <c r="K7" s="22" t="str">
        <f>IF(MONTH((DATE(2026,10,1)-WEEKDAY(DATE(2026,10,1),2)+1)+1)=10,(DATE(2026,10,1)-WEEKDAY(DATE(2026,10,1),2)+1)+1,"")</f>
        <v/>
      </c>
      <c r="L7" s="22" t="str">
        <f>IF(MONTH((DATE(2026,10,1)-WEEKDAY(DATE(2026,10,1),2)+1)+2)=10,(DATE(2026,10,1)-WEEKDAY(DATE(2026,10,1),2)+1)+2,"")</f>
        <v/>
      </c>
      <c r="M7" s="22">
        <f>IF(MONTH((DATE(2026,10,1)-WEEKDAY(DATE(2026,10,1),2)+1)+3)=10,(DATE(2026,10,1)-WEEKDAY(DATE(2026,10,1),2)+1)+3,"")</f>
        <v>46296</v>
      </c>
      <c r="N7" s="22">
        <f>IF(MONTH((DATE(2026,10,1)-WEEKDAY(DATE(2026,10,1),2)+1)+4)=10,(DATE(2026,10,1)-WEEKDAY(DATE(2026,10,1),2)+1)+4,"")</f>
        <v>46297</v>
      </c>
      <c r="O7" s="22">
        <f>IF(MONTH((DATE(2026,10,1)-WEEKDAY(DATE(2026,10,1),2)+1)+5)=10,(DATE(2026,10,1)-WEEKDAY(DATE(2026,10,1),2)+1)+5,"")</f>
        <v>46298</v>
      </c>
      <c r="P7" s="22">
        <f>IF(MONTH((DATE(2026,10,1)-WEEKDAY(DATE(2026,10,1),2)+1)+6)=10,(DATE(2026,10,1)-WEEKDAY(DATE(2026,10,1),2)+1)+6,"")</f>
        <v>46299</v>
      </c>
      <c r="R7" s="22" t="str">
        <f>IF(MONTH((DATE(2026,11,1)-WEEKDAY(DATE(2026,11,1),2)+1)+0)=11,(DATE(2026,11,1)-WEEKDAY(DATE(2026,11,1),2)+1)+0,"")</f>
        <v/>
      </c>
      <c r="S7" s="22" t="str">
        <f>IF(MONTH((DATE(2026,11,1)-WEEKDAY(DATE(2026,11,1),2)+1)+1)=11,(DATE(2026,11,1)-WEEKDAY(DATE(2026,11,1),2)+1)+1,"")</f>
        <v/>
      </c>
      <c r="T7" s="22" t="str">
        <f>IF(MONTH((DATE(2026,11,1)-WEEKDAY(DATE(2026,11,1),2)+1)+2)=11,(DATE(2026,11,1)-WEEKDAY(DATE(2026,11,1),2)+1)+2,"")</f>
        <v/>
      </c>
      <c r="U7" s="22" t="str">
        <f>IF(MONTH((DATE(2026,11,1)-WEEKDAY(DATE(2026,11,1),2)+1)+3)=11,(DATE(2026,11,1)-WEEKDAY(DATE(2026,11,1),2)+1)+3,"")</f>
        <v/>
      </c>
      <c r="V7" s="22" t="str">
        <f>IF(MONTH((DATE(2026,11,1)-WEEKDAY(DATE(2026,11,1),2)+1)+4)=11,(DATE(2026,11,1)-WEEKDAY(DATE(2026,11,1),2)+1)+4,"")</f>
        <v/>
      </c>
      <c r="W7" s="22" t="str">
        <f>IF(MONTH((DATE(2026,11,1)-WEEKDAY(DATE(2026,11,1),2)+1)+5)=11,(DATE(2026,11,1)-WEEKDAY(DATE(2026,11,1),2)+1)+5,"")</f>
        <v/>
      </c>
      <c r="X7" s="22">
        <f>IF(MONTH((DATE(2026,11,1)-WEEKDAY(DATE(2026,11,1),2)+1)+6)=11,(DATE(2026,11,1)-WEEKDAY(DATE(2026,11,1),2)+1)+6,"")</f>
        <v>46327</v>
      </c>
    </row>
    <row r="8" spans="2:25" x14ac:dyDescent="0.2">
      <c r="B8" s="22">
        <f>IF(MONTH((DATE(2026,9,1)-WEEKDAY(DATE(2026,9,1),2)+1)+7)=9,(DATE(2026,9,1)-WEEKDAY(DATE(2026,9,1),2)+1)+7,"")</f>
        <v>46272</v>
      </c>
      <c r="C8" s="22">
        <f>IF(MONTH((DATE(2026,9,1)-WEEKDAY(DATE(2026,9,1),2)+1)+8)=9,(DATE(2026,9,1)-WEEKDAY(DATE(2026,9,1),2)+1)+8,"")</f>
        <v>46273</v>
      </c>
      <c r="D8" s="22">
        <f>IF(MONTH((DATE(2026,9,1)-WEEKDAY(DATE(2026,9,1),2)+1)+9)=9,(DATE(2026,9,1)-WEEKDAY(DATE(2026,9,1),2)+1)+9,"")</f>
        <v>46274</v>
      </c>
      <c r="E8" s="22">
        <f>IF(MONTH((DATE(2026,9,1)-WEEKDAY(DATE(2026,9,1),2)+1)+10)=9,(DATE(2026,9,1)-WEEKDAY(DATE(2026,9,1),2)+1)+10,"")</f>
        <v>46275</v>
      </c>
      <c r="F8" s="22">
        <f>IF(MONTH((DATE(2026,9,1)-WEEKDAY(DATE(2026,9,1),2)+1)+11)=9,(DATE(2026,9,1)-WEEKDAY(DATE(2026,9,1),2)+1)+11,"")</f>
        <v>46276</v>
      </c>
      <c r="G8" s="22">
        <f>IF(MONTH((DATE(2026,9,1)-WEEKDAY(DATE(2026,9,1),2)+1)+12)=9,(DATE(2026,9,1)-WEEKDAY(DATE(2026,9,1),2)+1)+12,"")</f>
        <v>46277</v>
      </c>
      <c r="H8" s="22">
        <f>IF(MONTH((DATE(2026,9,1)-WEEKDAY(DATE(2026,9,1),2)+1)+13)=9,(DATE(2026,9,1)-WEEKDAY(DATE(2026,9,1),2)+1)+13,"")</f>
        <v>46278</v>
      </c>
      <c r="J8" s="22">
        <f>IF(MONTH((DATE(2026,10,1)-WEEKDAY(DATE(2026,10,1),2)+1)+7)=10,(DATE(2026,10,1)-WEEKDAY(DATE(2026,10,1),2)+1)+7,"")</f>
        <v>46300</v>
      </c>
      <c r="K8" s="22">
        <f>IF(MONTH((DATE(2026,10,1)-WEEKDAY(DATE(2026,10,1),2)+1)+8)=10,(DATE(2026,10,1)-WEEKDAY(DATE(2026,10,1),2)+1)+8,"")</f>
        <v>46301</v>
      </c>
      <c r="L8" s="22">
        <f>IF(MONTH((DATE(2026,10,1)-WEEKDAY(DATE(2026,10,1),2)+1)+9)=10,(DATE(2026,10,1)-WEEKDAY(DATE(2026,10,1),2)+1)+9,"")</f>
        <v>46302</v>
      </c>
      <c r="M8" s="22">
        <f>IF(MONTH((DATE(2026,10,1)-WEEKDAY(DATE(2026,10,1),2)+1)+10)=10,(DATE(2026,10,1)-WEEKDAY(DATE(2026,10,1),2)+1)+10,"")</f>
        <v>46303</v>
      </c>
      <c r="N8" s="22">
        <f>IF(MONTH((DATE(2026,10,1)-WEEKDAY(DATE(2026,10,1),2)+1)+11)=10,(DATE(2026,10,1)-WEEKDAY(DATE(2026,10,1),2)+1)+11,"")</f>
        <v>46304</v>
      </c>
      <c r="O8" s="22">
        <f>IF(MONTH((DATE(2026,10,1)-WEEKDAY(DATE(2026,10,1),2)+1)+12)=10,(DATE(2026,10,1)-WEEKDAY(DATE(2026,10,1),2)+1)+12,"")</f>
        <v>46305</v>
      </c>
      <c r="P8" s="22">
        <f>IF(MONTH((DATE(2026,10,1)-WEEKDAY(DATE(2026,10,1),2)+1)+13)=10,(DATE(2026,10,1)-WEEKDAY(DATE(2026,10,1),2)+1)+13,"")</f>
        <v>46306</v>
      </c>
      <c r="R8" s="22">
        <f>IF(MONTH((DATE(2026,11,1)-WEEKDAY(DATE(2026,11,1),2)+1)+7)=11,(DATE(2026,11,1)-WEEKDAY(DATE(2026,11,1),2)+1)+7,"")</f>
        <v>46328</v>
      </c>
      <c r="S8" s="22">
        <f>IF(MONTH((DATE(2026,11,1)-WEEKDAY(DATE(2026,11,1),2)+1)+8)=11,(DATE(2026,11,1)-WEEKDAY(DATE(2026,11,1),2)+1)+8,"")</f>
        <v>46329</v>
      </c>
      <c r="T8" s="22">
        <f>IF(MONTH((DATE(2026,11,1)-WEEKDAY(DATE(2026,11,1),2)+1)+9)=11,(DATE(2026,11,1)-WEEKDAY(DATE(2026,11,1),2)+1)+9,"")</f>
        <v>46330</v>
      </c>
      <c r="U8" s="22">
        <f>IF(MONTH((DATE(2026,11,1)-WEEKDAY(DATE(2026,11,1),2)+1)+10)=11,(DATE(2026,11,1)-WEEKDAY(DATE(2026,11,1),2)+1)+10,"")</f>
        <v>46331</v>
      </c>
      <c r="V8" s="22">
        <f>IF(MONTH((DATE(2026,11,1)-WEEKDAY(DATE(2026,11,1),2)+1)+11)=11,(DATE(2026,11,1)-WEEKDAY(DATE(2026,11,1),2)+1)+11,"")</f>
        <v>46332</v>
      </c>
      <c r="W8" s="22">
        <f>IF(MONTH((DATE(2026,11,1)-WEEKDAY(DATE(2026,11,1),2)+1)+12)=11,(DATE(2026,11,1)-WEEKDAY(DATE(2026,11,1),2)+1)+12,"")</f>
        <v>46333</v>
      </c>
      <c r="X8" s="22">
        <f>IF(MONTH((DATE(2026,11,1)-WEEKDAY(DATE(2026,11,1),2)+1)+13)=11,(DATE(2026,11,1)-WEEKDAY(DATE(2026,11,1),2)+1)+13,"")</f>
        <v>46334</v>
      </c>
    </row>
    <row r="9" spans="2:25" x14ac:dyDescent="0.2">
      <c r="B9" s="22">
        <f>IF(MONTH((DATE(2026,9,1)-WEEKDAY(DATE(2026,9,1),2)+1)+14)=9,(DATE(2026,9,1)-WEEKDAY(DATE(2026,9,1),2)+1)+14,"")</f>
        <v>46279</v>
      </c>
      <c r="C9" s="22">
        <f>IF(MONTH((DATE(2026,9,1)-WEEKDAY(DATE(2026,9,1),2)+1)+15)=9,(DATE(2026,9,1)-WEEKDAY(DATE(2026,9,1),2)+1)+15,"")</f>
        <v>46280</v>
      </c>
      <c r="D9" s="22">
        <f>IF(MONTH((DATE(2026,9,1)-WEEKDAY(DATE(2026,9,1),2)+1)+16)=9,(DATE(2026,9,1)-WEEKDAY(DATE(2026,9,1),2)+1)+16,"")</f>
        <v>46281</v>
      </c>
      <c r="E9" s="22">
        <f>IF(MONTH((DATE(2026,9,1)-WEEKDAY(DATE(2026,9,1),2)+1)+17)=9,(DATE(2026,9,1)-WEEKDAY(DATE(2026,9,1),2)+1)+17,"")</f>
        <v>46282</v>
      </c>
      <c r="F9" s="22">
        <f>IF(MONTH((DATE(2026,9,1)-WEEKDAY(DATE(2026,9,1),2)+1)+18)=9,(DATE(2026,9,1)-WEEKDAY(DATE(2026,9,1),2)+1)+18,"")</f>
        <v>46283</v>
      </c>
      <c r="G9" s="22">
        <f>IF(MONTH((DATE(2026,9,1)-WEEKDAY(DATE(2026,9,1),2)+1)+19)=9,(DATE(2026,9,1)-WEEKDAY(DATE(2026,9,1),2)+1)+19,"")</f>
        <v>46284</v>
      </c>
      <c r="H9" s="22">
        <f>IF(MONTH((DATE(2026,9,1)-WEEKDAY(DATE(2026,9,1),2)+1)+20)=9,(DATE(2026,9,1)-WEEKDAY(DATE(2026,9,1),2)+1)+20,"")</f>
        <v>46285</v>
      </c>
      <c r="J9" s="22">
        <f>IF(MONTH((DATE(2026,10,1)-WEEKDAY(DATE(2026,10,1),2)+1)+14)=10,(DATE(2026,10,1)-WEEKDAY(DATE(2026,10,1),2)+1)+14,"")</f>
        <v>46307</v>
      </c>
      <c r="K9" s="22">
        <f>IF(MONTH((DATE(2026,10,1)-WEEKDAY(DATE(2026,10,1),2)+1)+15)=10,(DATE(2026,10,1)-WEEKDAY(DATE(2026,10,1),2)+1)+15,"")</f>
        <v>46308</v>
      </c>
      <c r="L9" s="22">
        <f>IF(MONTH((DATE(2026,10,1)-WEEKDAY(DATE(2026,10,1),2)+1)+16)=10,(DATE(2026,10,1)-WEEKDAY(DATE(2026,10,1),2)+1)+16,"")</f>
        <v>46309</v>
      </c>
      <c r="M9" s="22">
        <f>IF(MONTH((DATE(2026,10,1)-WEEKDAY(DATE(2026,10,1),2)+1)+17)=10,(DATE(2026,10,1)-WEEKDAY(DATE(2026,10,1),2)+1)+17,"")</f>
        <v>46310</v>
      </c>
      <c r="N9" s="22">
        <f>IF(MONTH((DATE(2026,10,1)-WEEKDAY(DATE(2026,10,1),2)+1)+18)=10,(DATE(2026,10,1)-WEEKDAY(DATE(2026,10,1),2)+1)+18,"")</f>
        <v>46311</v>
      </c>
      <c r="O9" s="22">
        <f>IF(MONTH((DATE(2026,10,1)-WEEKDAY(DATE(2026,10,1),2)+1)+19)=10,(DATE(2026,10,1)-WEEKDAY(DATE(2026,10,1),2)+1)+19,"")</f>
        <v>46312</v>
      </c>
      <c r="P9" s="22">
        <f>IF(MONTH((DATE(2026,10,1)-WEEKDAY(DATE(2026,10,1),2)+1)+20)=10,(DATE(2026,10,1)-WEEKDAY(DATE(2026,10,1),2)+1)+20,"")</f>
        <v>46313</v>
      </c>
      <c r="R9" s="22">
        <f>IF(MONTH((DATE(2026,11,1)-WEEKDAY(DATE(2026,11,1),2)+1)+14)=11,(DATE(2026,11,1)-WEEKDAY(DATE(2026,11,1),2)+1)+14,"")</f>
        <v>46335</v>
      </c>
      <c r="S9" s="22">
        <f>IF(MONTH((DATE(2026,11,1)-WEEKDAY(DATE(2026,11,1),2)+1)+15)=11,(DATE(2026,11,1)-WEEKDAY(DATE(2026,11,1),2)+1)+15,"")</f>
        <v>46336</v>
      </c>
      <c r="T9" s="22">
        <f>IF(MONTH((DATE(2026,11,1)-WEEKDAY(DATE(2026,11,1),2)+1)+16)=11,(DATE(2026,11,1)-WEEKDAY(DATE(2026,11,1),2)+1)+16,"")</f>
        <v>46337</v>
      </c>
      <c r="U9" s="22">
        <f>IF(MONTH((DATE(2026,11,1)-WEEKDAY(DATE(2026,11,1),2)+1)+17)=11,(DATE(2026,11,1)-WEEKDAY(DATE(2026,11,1),2)+1)+17,"")</f>
        <v>46338</v>
      </c>
      <c r="V9" s="22">
        <f>IF(MONTH((DATE(2026,11,1)-WEEKDAY(DATE(2026,11,1),2)+1)+18)=11,(DATE(2026,11,1)-WEEKDAY(DATE(2026,11,1),2)+1)+18,"")</f>
        <v>46339</v>
      </c>
      <c r="W9" s="22">
        <f>IF(MONTH((DATE(2026,11,1)-WEEKDAY(DATE(2026,11,1),2)+1)+19)=11,(DATE(2026,11,1)-WEEKDAY(DATE(2026,11,1),2)+1)+19,"")</f>
        <v>46340</v>
      </c>
      <c r="X9" s="22">
        <f>IF(MONTH((DATE(2026,11,1)-WEEKDAY(DATE(2026,11,1),2)+1)+20)=11,(DATE(2026,11,1)-WEEKDAY(DATE(2026,11,1),2)+1)+20,"")</f>
        <v>46341</v>
      </c>
    </row>
    <row r="10" spans="2:25" x14ac:dyDescent="0.2">
      <c r="B10" s="22">
        <f>IF(MONTH((DATE(2026,9,1)-WEEKDAY(DATE(2026,9,1),2)+1)+21)=9,(DATE(2026,9,1)-WEEKDAY(DATE(2026,9,1),2)+1)+21,"")</f>
        <v>46286</v>
      </c>
      <c r="C10" s="22">
        <f>IF(MONTH((DATE(2026,9,1)-WEEKDAY(DATE(2026,9,1),2)+1)+22)=9,(DATE(2026,9,1)-WEEKDAY(DATE(2026,9,1),2)+1)+22,"")</f>
        <v>46287</v>
      </c>
      <c r="D10" s="22">
        <f>IF(MONTH((DATE(2026,9,1)-WEEKDAY(DATE(2026,9,1),2)+1)+23)=9,(DATE(2026,9,1)-WEEKDAY(DATE(2026,9,1),2)+1)+23,"")</f>
        <v>46288</v>
      </c>
      <c r="E10" s="22">
        <f>IF(MONTH((DATE(2026,9,1)-WEEKDAY(DATE(2026,9,1),2)+1)+24)=9,(DATE(2026,9,1)-WEEKDAY(DATE(2026,9,1),2)+1)+24,"")</f>
        <v>46289</v>
      </c>
      <c r="F10" s="22">
        <f>IF(MONTH((DATE(2026,9,1)-WEEKDAY(DATE(2026,9,1),2)+1)+25)=9,(DATE(2026,9,1)-WEEKDAY(DATE(2026,9,1),2)+1)+25,"")</f>
        <v>46290</v>
      </c>
      <c r="G10" s="22">
        <f>IF(MONTH((DATE(2026,9,1)-WEEKDAY(DATE(2026,9,1),2)+1)+26)=9,(DATE(2026,9,1)-WEEKDAY(DATE(2026,9,1),2)+1)+26,"")</f>
        <v>46291</v>
      </c>
      <c r="H10" s="22">
        <f>IF(MONTH((DATE(2026,9,1)-WEEKDAY(DATE(2026,9,1),2)+1)+27)=9,(DATE(2026,9,1)-WEEKDAY(DATE(2026,9,1),2)+1)+27,"")</f>
        <v>46292</v>
      </c>
      <c r="J10" s="22">
        <f>IF(MONTH((DATE(2026,10,1)-WEEKDAY(DATE(2026,10,1),2)+1)+21)=10,(DATE(2026,10,1)-WEEKDAY(DATE(2026,10,1),2)+1)+21,"")</f>
        <v>46314</v>
      </c>
      <c r="K10" s="22">
        <f>IF(MONTH((DATE(2026,10,1)-WEEKDAY(DATE(2026,10,1),2)+1)+22)=10,(DATE(2026,10,1)-WEEKDAY(DATE(2026,10,1),2)+1)+22,"")</f>
        <v>46315</v>
      </c>
      <c r="L10" s="22">
        <f>IF(MONTH((DATE(2026,10,1)-WEEKDAY(DATE(2026,10,1),2)+1)+23)=10,(DATE(2026,10,1)-WEEKDAY(DATE(2026,10,1),2)+1)+23,"")</f>
        <v>46316</v>
      </c>
      <c r="M10" s="22">
        <f>IF(MONTH((DATE(2026,10,1)-WEEKDAY(DATE(2026,10,1),2)+1)+24)=10,(DATE(2026,10,1)-WEEKDAY(DATE(2026,10,1),2)+1)+24,"")</f>
        <v>46317</v>
      </c>
      <c r="N10" s="22">
        <f>IF(MONTH((DATE(2026,10,1)-WEEKDAY(DATE(2026,10,1),2)+1)+25)=10,(DATE(2026,10,1)-WEEKDAY(DATE(2026,10,1),2)+1)+25,"")</f>
        <v>46318</v>
      </c>
      <c r="O10" s="22">
        <f>IF(MONTH((DATE(2026,10,1)-WEEKDAY(DATE(2026,10,1),2)+1)+26)=10,(DATE(2026,10,1)-WEEKDAY(DATE(2026,10,1),2)+1)+26,"")</f>
        <v>46319</v>
      </c>
      <c r="P10" s="22">
        <f>IF(MONTH((DATE(2026,10,1)-WEEKDAY(DATE(2026,10,1),2)+1)+27)=10,(DATE(2026,10,1)-WEEKDAY(DATE(2026,10,1),2)+1)+27,"")</f>
        <v>46320</v>
      </c>
      <c r="R10" s="22">
        <f>IF(MONTH((DATE(2026,11,1)-WEEKDAY(DATE(2026,11,1),2)+1)+21)=11,(DATE(2026,11,1)-WEEKDAY(DATE(2026,11,1),2)+1)+21,"")</f>
        <v>46342</v>
      </c>
      <c r="S10" s="22">
        <f>IF(MONTH((DATE(2026,11,1)-WEEKDAY(DATE(2026,11,1),2)+1)+22)=11,(DATE(2026,11,1)-WEEKDAY(DATE(2026,11,1),2)+1)+22,"")</f>
        <v>46343</v>
      </c>
      <c r="T10" s="22">
        <f>IF(MONTH((DATE(2026,11,1)-WEEKDAY(DATE(2026,11,1),2)+1)+23)=11,(DATE(2026,11,1)-WEEKDAY(DATE(2026,11,1),2)+1)+23,"")</f>
        <v>46344</v>
      </c>
      <c r="U10" s="22">
        <f>IF(MONTH((DATE(2026,11,1)-WEEKDAY(DATE(2026,11,1),2)+1)+24)=11,(DATE(2026,11,1)-WEEKDAY(DATE(2026,11,1),2)+1)+24,"")</f>
        <v>46345</v>
      </c>
      <c r="V10" s="22">
        <f>IF(MONTH((DATE(2026,11,1)-WEEKDAY(DATE(2026,11,1),2)+1)+25)=11,(DATE(2026,11,1)-WEEKDAY(DATE(2026,11,1),2)+1)+25,"")</f>
        <v>46346</v>
      </c>
      <c r="W10" s="22">
        <f>IF(MONTH((DATE(2026,11,1)-WEEKDAY(DATE(2026,11,1),2)+1)+26)=11,(DATE(2026,11,1)-WEEKDAY(DATE(2026,11,1),2)+1)+26,"")</f>
        <v>46347</v>
      </c>
      <c r="X10" s="22">
        <f>IF(MONTH((DATE(2026,11,1)-WEEKDAY(DATE(2026,11,1),2)+1)+27)=11,(DATE(2026,11,1)-WEEKDAY(DATE(2026,11,1),2)+1)+27,"")</f>
        <v>46348</v>
      </c>
    </row>
    <row r="11" spans="2:25" x14ac:dyDescent="0.2">
      <c r="B11" s="22">
        <f>IF(MONTH((DATE(2026,9,1)-WEEKDAY(DATE(2026,9,1),2)+1)+28)=9,(DATE(2026,9,1)-WEEKDAY(DATE(2026,9,1),2)+1)+28,"")</f>
        <v>46293</v>
      </c>
      <c r="C11" s="22">
        <f>IF(MONTH((DATE(2026,9,1)-WEEKDAY(DATE(2026,9,1),2)+1)+29)=9,(DATE(2026,9,1)-WEEKDAY(DATE(2026,9,1),2)+1)+29,"")</f>
        <v>46294</v>
      </c>
      <c r="D11" s="22">
        <f>IF(MONTH((DATE(2026,9,1)-WEEKDAY(DATE(2026,9,1),2)+1)+30)=9,(DATE(2026,9,1)-WEEKDAY(DATE(2026,9,1),2)+1)+30,"")</f>
        <v>46295</v>
      </c>
      <c r="E11" s="22" t="str">
        <f>IF(MONTH((DATE(2026,9,1)-WEEKDAY(DATE(2026,9,1),2)+1)+31)=9,(DATE(2026,9,1)-WEEKDAY(DATE(2026,9,1),2)+1)+31,"")</f>
        <v/>
      </c>
      <c r="F11" s="22" t="str">
        <f>IF(MONTH((DATE(2026,9,1)-WEEKDAY(DATE(2026,9,1),2)+1)+32)=9,(DATE(2026,9,1)-WEEKDAY(DATE(2026,9,1),2)+1)+32,"")</f>
        <v/>
      </c>
      <c r="G11" s="22" t="str">
        <f>IF(MONTH((DATE(2026,9,1)-WEEKDAY(DATE(2026,9,1),2)+1)+33)=9,(DATE(2026,9,1)-WEEKDAY(DATE(2026,9,1),2)+1)+33,"")</f>
        <v/>
      </c>
      <c r="H11" s="22" t="str">
        <f>IF(MONTH((DATE(2026,9,1)-WEEKDAY(DATE(2026,9,1),2)+1)+34)=9,(DATE(2026,9,1)-WEEKDAY(DATE(2026,9,1),2)+1)+34,"")</f>
        <v/>
      </c>
      <c r="J11" s="22">
        <f>IF(MONTH((DATE(2026,10,1)-WEEKDAY(DATE(2026,10,1),2)+1)+28)=10,(DATE(2026,10,1)-WEEKDAY(DATE(2026,10,1),2)+1)+28,"")</f>
        <v>46321</v>
      </c>
      <c r="K11" s="22">
        <f>IF(MONTH((DATE(2026,10,1)-WEEKDAY(DATE(2026,10,1),2)+1)+29)=10,(DATE(2026,10,1)-WEEKDAY(DATE(2026,10,1),2)+1)+29,"")</f>
        <v>46322</v>
      </c>
      <c r="L11" s="22">
        <f>IF(MONTH((DATE(2026,10,1)-WEEKDAY(DATE(2026,10,1),2)+1)+30)=10,(DATE(2026,10,1)-WEEKDAY(DATE(2026,10,1),2)+1)+30,"")</f>
        <v>46323</v>
      </c>
      <c r="M11" s="22">
        <f>IF(MONTH((DATE(2026,10,1)-WEEKDAY(DATE(2026,10,1),2)+1)+31)=10,(DATE(2026,10,1)-WEEKDAY(DATE(2026,10,1),2)+1)+31,"")</f>
        <v>46324</v>
      </c>
      <c r="N11" s="22">
        <f>IF(MONTH((DATE(2026,10,1)-WEEKDAY(DATE(2026,10,1),2)+1)+32)=10,(DATE(2026,10,1)-WEEKDAY(DATE(2026,10,1),2)+1)+32,"")</f>
        <v>46325</v>
      </c>
      <c r="O11" s="22">
        <f>IF(MONTH((DATE(2026,10,1)-WEEKDAY(DATE(2026,10,1),2)+1)+33)=10,(DATE(2026,10,1)-WEEKDAY(DATE(2026,10,1),2)+1)+33,"")</f>
        <v>46326</v>
      </c>
      <c r="P11" s="22" t="str">
        <f>IF(MONTH((DATE(2026,10,1)-WEEKDAY(DATE(2026,10,1),2)+1)+34)=10,(DATE(2026,10,1)-WEEKDAY(DATE(2026,10,1),2)+1)+34,"")</f>
        <v/>
      </c>
      <c r="R11" s="22">
        <f>IF(MONTH((DATE(2026,11,1)-WEEKDAY(DATE(2026,11,1),2)+1)+28)=11,(DATE(2026,11,1)-WEEKDAY(DATE(2026,11,1),2)+1)+28,"")</f>
        <v>46349</v>
      </c>
      <c r="S11" s="22">
        <f>IF(MONTH((DATE(2026,11,1)-WEEKDAY(DATE(2026,11,1),2)+1)+29)=11,(DATE(2026,11,1)-WEEKDAY(DATE(2026,11,1),2)+1)+29,"")</f>
        <v>46350</v>
      </c>
      <c r="T11" s="22">
        <f>IF(MONTH((DATE(2026,11,1)-WEEKDAY(DATE(2026,11,1),2)+1)+30)=11,(DATE(2026,11,1)-WEEKDAY(DATE(2026,11,1),2)+1)+30,"")</f>
        <v>46351</v>
      </c>
      <c r="U11" s="22">
        <f>IF(MONTH((DATE(2026,11,1)-WEEKDAY(DATE(2026,11,1),2)+1)+31)=11,(DATE(2026,11,1)-WEEKDAY(DATE(2026,11,1),2)+1)+31,"")</f>
        <v>46352</v>
      </c>
      <c r="V11" s="22">
        <f>IF(MONTH((DATE(2026,11,1)-WEEKDAY(DATE(2026,11,1),2)+1)+32)=11,(DATE(2026,11,1)-WEEKDAY(DATE(2026,11,1),2)+1)+32,"")</f>
        <v>46353</v>
      </c>
      <c r="W11" s="22">
        <f>IF(MONTH((DATE(2026,11,1)-WEEKDAY(DATE(2026,11,1),2)+1)+33)=11,(DATE(2026,11,1)-WEEKDAY(DATE(2026,11,1),2)+1)+33,"")</f>
        <v>46354</v>
      </c>
      <c r="X11" s="22">
        <f>IF(MONTH((DATE(2026,11,1)-WEEKDAY(DATE(2026,11,1),2)+1)+34)=11,(DATE(2026,11,1)-WEEKDAY(DATE(2026,11,1),2)+1)+34,"")</f>
        <v>46355</v>
      </c>
    </row>
    <row r="12" spans="2:25" x14ac:dyDescent="0.2">
      <c r="B12" s="22" t="str">
        <f>IF(MONTH((DATE(2026,9,1)-WEEKDAY(DATE(2026,9,1),2)+1)+35)=9,(DATE(2026,9,1)-WEEKDAY(DATE(2026,9,1),2)+1)+35,"")</f>
        <v/>
      </c>
      <c r="C12" s="22" t="str">
        <f>IF(MONTH((DATE(2026,9,1)-WEEKDAY(DATE(2026,9,1),2)+1)+36)=9,(DATE(2026,9,1)-WEEKDAY(DATE(2026,9,1),2)+1)+36,"")</f>
        <v/>
      </c>
      <c r="D12" s="22" t="str">
        <f>IF(MONTH((DATE(2026,9,1)-WEEKDAY(DATE(2026,9,1),2)+1)+37)=9,(DATE(2026,9,1)-WEEKDAY(DATE(2026,9,1),2)+1)+37,"")</f>
        <v/>
      </c>
      <c r="E12" s="22" t="str">
        <f>IF(MONTH((DATE(2026,9,1)-WEEKDAY(DATE(2026,9,1),2)+1)+38)=9,(DATE(2026,9,1)-WEEKDAY(DATE(2026,9,1),2)+1)+38,"")</f>
        <v/>
      </c>
      <c r="F12" s="22" t="str">
        <f>IF(MONTH((DATE(2026,9,1)-WEEKDAY(DATE(2026,9,1),2)+1)+39)=9,(DATE(2026,9,1)-WEEKDAY(DATE(2026,9,1),2)+1)+39,"")</f>
        <v/>
      </c>
      <c r="G12" s="22" t="str">
        <f>IF(MONTH((DATE(2026,9,1)-WEEKDAY(DATE(2026,9,1),2)+1)+40)=9,(DATE(2026,9,1)-WEEKDAY(DATE(2026,9,1),2)+1)+40,"")</f>
        <v/>
      </c>
      <c r="H12" s="22" t="str">
        <f>IF(MONTH((DATE(2026,9,1)-WEEKDAY(DATE(2026,9,1),2)+1)+41)=9,(DATE(2026,9,1)-WEEKDAY(DATE(2026,9,1),2)+1)+41,"")</f>
        <v/>
      </c>
      <c r="J12" s="22" t="str">
        <f>IF(MONTH((DATE(2026,10,1)-WEEKDAY(DATE(2026,10,1),2)+1)+35)=10,(DATE(2026,10,1)-WEEKDAY(DATE(2026,10,1),2)+1)+35,"")</f>
        <v/>
      </c>
      <c r="K12" s="22" t="str">
        <f>IF(MONTH((DATE(2026,10,1)-WEEKDAY(DATE(2026,10,1),2)+1)+36)=10,(DATE(2026,10,1)-WEEKDAY(DATE(2026,10,1),2)+1)+36,"")</f>
        <v/>
      </c>
      <c r="L12" s="22" t="str">
        <f>IF(MONTH((DATE(2026,10,1)-WEEKDAY(DATE(2026,10,1),2)+1)+37)=10,(DATE(2026,10,1)-WEEKDAY(DATE(2026,10,1),2)+1)+37,"")</f>
        <v/>
      </c>
      <c r="M12" s="22" t="str">
        <f>IF(MONTH((DATE(2026,10,1)-WEEKDAY(DATE(2026,10,1),2)+1)+38)=10,(DATE(2026,10,1)-WEEKDAY(DATE(2026,10,1),2)+1)+38,"")</f>
        <v/>
      </c>
      <c r="N12" s="22" t="str">
        <f>IF(MONTH((DATE(2026,10,1)-WEEKDAY(DATE(2026,10,1),2)+1)+39)=10,(DATE(2026,10,1)-WEEKDAY(DATE(2026,10,1),2)+1)+39,"")</f>
        <v/>
      </c>
      <c r="O12" s="22" t="str">
        <f>IF(MONTH((DATE(2026,10,1)-WEEKDAY(DATE(2026,10,1),2)+1)+40)=10,(DATE(2026,10,1)-WEEKDAY(DATE(2026,10,1),2)+1)+40,"")</f>
        <v/>
      </c>
      <c r="P12" s="22" t="str">
        <f>IF(MONTH((DATE(2026,10,1)-WEEKDAY(DATE(2026,10,1),2)+1)+41)=10,(DATE(2026,10,1)-WEEKDAY(DATE(2026,10,1),2)+1)+41,"")</f>
        <v/>
      </c>
      <c r="R12" s="22">
        <f>IF(MONTH((DATE(2026,11,1)-WEEKDAY(DATE(2026,11,1),2)+1)+35)=11,(DATE(2026,11,1)-WEEKDAY(DATE(2026,11,1),2)+1)+35,"")</f>
        <v>46356</v>
      </c>
      <c r="S12" s="22" t="str">
        <f>IF(MONTH((DATE(2026,11,1)-WEEKDAY(DATE(2026,11,1),2)+1)+36)=11,(DATE(2026,11,1)-WEEKDAY(DATE(2026,11,1),2)+1)+36,"")</f>
        <v/>
      </c>
      <c r="T12" s="22" t="str">
        <f>IF(MONTH((DATE(2026,11,1)-WEEKDAY(DATE(2026,11,1),2)+1)+37)=11,(DATE(2026,11,1)-WEEKDAY(DATE(2026,11,1),2)+1)+37,"")</f>
        <v/>
      </c>
      <c r="U12" s="22" t="str">
        <f>IF(MONTH((DATE(2026,11,1)-WEEKDAY(DATE(2026,11,1),2)+1)+38)=11,(DATE(2026,11,1)-WEEKDAY(DATE(2026,11,1),2)+1)+38,"")</f>
        <v/>
      </c>
      <c r="V12" s="22" t="str">
        <f>IF(MONTH((DATE(2026,11,1)-WEEKDAY(DATE(2026,11,1),2)+1)+39)=11,(DATE(2026,11,1)-WEEKDAY(DATE(2026,11,1),2)+1)+39,"")</f>
        <v/>
      </c>
      <c r="W12" s="22" t="str">
        <f>IF(MONTH((DATE(2026,11,1)-WEEKDAY(DATE(2026,11,1),2)+1)+40)=11,(DATE(2026,11,1)-WEEKDAY(DATE(2026,11,1),2)+1)+40,"")</f>
        <v/>
      </c>
      <c r="X12" s="22" t="str">
        <f>IF(MONTH((DATE(2026,11,1)-WEEKDAY(DATE(2026,11,1),2)+1)+41)=11,(DATE(2026,11,1)-WEEKDAY(DATE(2026,11,1),2)+1)+41,"")</f>
        <v/>
      </c>
    </row>
    <row r="14" spans="2:25" x14ac:dyDescent="0.2">
      <c r="B14" s="32" t="s">
        <v>84</v>
      </c>
      <c r="C14" s="33"/>
      <c r="D14" s="33"/>
      <c r="E14" s="33"/>
      <c r="F14" s="33"/>
      <c r="G14" s="33"/>
      <c r="H14" s="33"/>
      <c r="J14" s="32" t="s">
        <v>85</v>
      </c>
      <c r="K14" s="33"/>
      <c r="L14" s="33"/>
      <c r="M14" s="33"/>
      <c r="N14" s="33"/>
      <c r="O14" s="33"/>
      <c r="P14" s="33"/>
      <c r="R14" s="32" t="s">
        <v>86</v>
      </c>
      <c r="S14" s="33"/>
      <c r="T14" s="33"/>
      <c r="U14" s="33"/>
      <c r="V14" s="33"/>
      <c r="W14" s="33"/>
      <c r="X14" s="33"/>
    </row>
    <row r="15" spans="2:25" x14ac:dyDescent="0.2">
      <c r="B15" s="21" t="s">
        <v>75</v>
      </c>
      <c r="C15" s="21" t="s">
        <v>76</v>
      </c>
      <c r="D15" s="21" t="s">
        <v>77</v>
      </c>
      <c r="E15" s="21" t="s">
        <v>78</v>
      </c>
      <c r="F15" s="21" t="s">
        <v>79</v>
      </c>
      <c r="G15" s="21" t="s">
        <v>80</v>
      </c>
      <c r="H15" s="21" t="s">
        <v>81</v>
      </c>
      <c r="J15" s="21" t="s">
        <v>75</v>
      </c>
      <c r="K15" s="21" t="s">
        <v>76</v>
      </c>
      <c r="L15" s="21" t="s">
        <v>77</v>
      </c>
      <c r="M15" s="21" t="s">
        <v>78</v>
      </c>
      <c r="N15" s="21" t="s">
        <v>79</v>
      </c>
      <c r="O15" s="21" t="s">
        <v>80</v>
      </c>
      <c r="P15" s="21" t="s">
        <v>81</v>
      </c>
      <c r="R15" s="21" t="s">
        <v>75</v>
      </c>
      <c r="S15" s="21" t="s">
        <v>76</v>
      </c>
      <c r="T15" s="21" t="s">
        <v>77</v>
      </c>
      <c r="U15" s="21" t="s">
        <v>78</v>
      </c>
      <c r="V15" s="21" t="s">
        <v>79</v>
      </c>
      <c r="W15" s="21" t="s">
        <v>80</v>
      </c>
      <c r="X15" s="21" t="s">
        <v>81</v>
      </c>
    </row>
    <row r="16" spans="2:25" x14ac:dyDescent="0.2">
      <c r="B16" s="22" t="str">
        <f>IF(MONTH((DATE(2026,12,1)-WEEKDAY(DATE(2026,12,1),2)+1)+0)=12,(DATE(2026,12,1)-WEEKDAY(DATE(2026,12,1),2)+1)+0,"")</f>
        <v/>
      </c>
      <c r="C16" s="22">
        <f>IF(MONTH((DATE(2026,12,1)-WEEKDAY(DATE(2026,12,1),2)+1)+1)=12,(DATE(2026,12,1)-WEEKDAY(DATE(2026,12,1),2)+1)+1,"")</f>
        <v>46357</v>
      </c>
      <c r="D16" s="22">
        <f>IF(MONTH((DATE(2026,12,1)-WEEKDAY(DATE(2026,12,1),2)+1)+2)=12,(DATE(2026,12,1)-WEEKDAY(DATE(2026,12,1),2)+1)+2,"")</f>
        <v>46358</v>
      </c>
      <c r="E16" s="22">
        <f>IF(MONTH((DATE(2026,12,1)-WEEKDAY(DATE(2026,12,1),2)+1)+3)=12,(DATE(2026,12,1)-WEEKDAY(DATE(2026,12,1),2)+1)+3,"")</f>
        <v>46359</v>
      </c>
      <c r="F16" s="22">
        <f>IF(MONTH((DATE(2026,12,1)-WEEKDAY(DATE(2026,12,1),2)+1)+4)=12,(DATE(2026,12,1)-WEEKDAY(DATE(2026,12,1),2)+1)+4,"")</f>
        <v>46360</v>
      </c>
      <c r="G16" s="22">
        <f>IF(MONTH((DATE(2026,12,1)-WEEKDAY(DATE(2026,12,1),2)+1)+5)=12,(DATE(2026,12,1)-WEEKDAY(DATE(2026,12,1),2)+1)+5,"")</f>
        <v>46361</v>
      </c>
      <c r="H16" s="22">
        <f>IF(MONTH((DATE(2026,12,1)-WEEKDAY(DATE(2026,12,1),2)+1)+6)=12,(DATE(2026,12,1)-WEEKDAY(DATE(2026,12,1),2)+1)+6,"")</f>
        <v>46362</v>
      </c>
      <c r="J16" s="22" t="str">
        <f>IF(MONTH((DATE(2027,1,1)-WEEKDAY(DATE(2027,1,1),2)+1)+0)=1,(DATE(2027,1,1)-WEEKDAY(DATE(2027,1,1),2)+1)+0,"")</f>
        <v/>
      </c>
      <c r="K16" s="22" t="str">
        <f>IF(MONTH((DATE(2027,1,1)-WEEKDAY(DATE(2027,1,1),2)+1)+1)=1,(DATE(2027,1,1)-WEEKDAY(DATE(2027,1,1),2)+1)+1,"")</f>
        <v/>
      </c>
      <c r="L16" s="22" t="str">
        <f>IF(MONTH((DATE(2027,1,1)-WEEKDAY(DATE(2027,1,1),2)+1)+2)=1,(DATE(2027,1,1)-WEEKDAY(DATE(2027,1,1),2)+1)+2,"")</f>
        <v/>
      </c>
      <c r="M16" s="22" t="str">
        <f>IF(MONTH((DATE(2027,1,1)-WEEKDAY(DATE(2027,1,1),2)+1)+3)=1,(DATE(2027,1,1)-WEEKDAY(DATE(2027,1,1),2)+1)+3,"")</f>
        <v/>
      </c>
      <c r="N16" s="22">
        <f>IF(MONTH((DATE(2027,1,1)-WEEKDAY(DATE(2027,1,1),2)+1)+4)=1,(DATE(2027,1,1)-WEEKDAY(DATE(2027,1,1),2)+1)+4,"")</f>
        <v>46388</v>
      </c>
      <c r="O16" s="22">
        <f>IF(MONTH((DATE(2027,1,1)-WEEKDAY(DATE(2027,1,1),2)+1)+5)=1,(DATE(2027,1,1)-WEEKDAY(DATE(2027,1,1),2)+1)+5,"")</f>
        <v>46389</v>
      </c>
      <c r="P16" s="22">
        <f>IF(MONTH((DATE(2027,1,1)-WEEKDAY(DATE(2027,1,1),2)+1)+6)=1,(DATE(2027,1,1)-WEEKDAY(DATE(2027,1,1),2)+1)+6,"")</f>
        <v>46390</v>
      </c>
      <c r="R16" s="22">
        <f>IF(MONTH((DATE(2027,2,1)-WEEKDAY(DATE(2027,2,1),2)+1)+0)=2,(DATE(2027,2,1)-WEEKDAY(DATE(2027,2,1),2)+1)+0,"")</f>
        <v>46419</v>
      </c>
      <c r="S16" s="22">
        <f>IF(MONTH((DATE(2027,2,1)-WEEKDAY(DATE(2027,2,1),2)+1)+1)=2,(DATE(2027,2,1)-WEEKDAY(DATE(2027,2,1),2)+1)+1,"")</f>
        <v>46420</v>
      </c>
      <c r="T16" s="22">
        <f>IF(MONTH((DATE(2027,2,1)-WEEKDAY(DATE(2027,2,1),2)+1)+2)=2,(DATE(2027,2,1)-WEEKDAY(DATE(2027,2,1),2)+1)+2,"")</f>
        <v>46421</v>
      </c>
      <c r="U16" s="22">
        <f>IF(MONTH((DATE(2027,2,1)-WEEKDAY(DATE(2027,2,1),2)+1)+3)=2,(DATE(2027,2,1)-WEEKDAY(DATE(2027,2,1),2)+1)+3,"")</f>
        <v>46422</v>
      </c>
      <c r="V16" s="22">
        <f>IF(MONTH((DATE(2027,2,1)-WEEKDAY(DATE(2027,2,1),2)+1)+4)=2,(DATE(2027,2,1)-WEEKDAY(DATE(2027,2,1),2)+1)+4,"")</f>
        <v>46423</v>
      </c>
      <c r="W16" s="22">
        <f>IF(MONTH((DATE(2027,2,1)-WEEKDAY(DATE(2027,2,1),2)+1)+5)=2,(DATE(2027,2,1)-WEEKDAY(DATE(2027,2,1),2)+1)+5,"")</f>
        <v>46424</v>
      </c>
      <c r="X16" s="22">
        <f>IF(MONTH((DATE(2027,2,1)-WEEKDAY(DATE(2027,2,1),2)+1)+6)=2,(DATE(2027,2,1)-WEEKDAY(DATE(2027,2,1),2)+1)+6,"")</f>
        <v>46425</v>
      </c>
    </row>
    <row r="17" spans="2:24" x14ac:dyDescent="0.2">
      <c r="B17" s="22">
        <f>IF(MONTH((DATE(2026,12,1)-WEEKDAY(DATE(2026,12,1),2)+1)+7)=12,(DATE(2026,12,1)-WEEKDAY(DATE(2026,12,1),2)+1)+7,"")</f>
        <v>46363</v>
      </c>
      <c r="C17" s="22">
        <f>IF(MONTH((DATE(2026,12,1)-WEEKDAY(DATE(2026,12,1),2)+1)+8)=12,(DATE(2026,12,1)-WEEKDAY(DATE(2026,12,1),2)+1)+8,"")</f>
        <v>46364</v>
      </c>
      <c r="D17" s="22">
        <f>IF(MONTH((DATE(2026,12,1)-WEEKDAY(DATE(2026,12,1),2)+1)+9)=12,(DATE(2026,12,1)-WEEKDAY(DATE(2026,12,1),2)+1)+9,"")</f>
        <v>46365</v>
      </c>
      <c r="E17" s="22">
        <f>IF(MONTH((DATE(2026,12,1)-WEEKDAY(DATE(2026,12,1),2)+1)+10)=12,(DATE(2026,12,1)-WEEKDAY(DATE(2026,12,1),2)+1)+10,"")</f>
        <v>46366</v>
      </c>
      <c r="F17" s="22">
        <f>IF(MONTH((DATE(2026,12,1)-WEEKDAY(DATE(2026,12,1),2)+1)+11)=12,(DATE(2026,12,1)-WEEKDAY(DATE(2026,12,1),2)+1)+11,"")</f>
        <v>46367</v>
      </c>
      <c r="G17" s="22">
        <f>IF(MONTH((DATE(2026,12,1)-WEEKDAY(DATE(2026,12,1),2)+1)+12)=12,(DATE(2026,12,1)-WEEKDAY(DATE(2026,12,1),2)+1)+12,"")</f>
        <v>46368</v>
      </c>
      <c r="H17" s="22">
        <f>IF(MONTH((DATE(2026,12,1)-WEEKDAY(DATE(2026,12,1),2)+1)+13)=12,(DATE(2026,12,1)-WEEKDAY(DATE(2026,12,1),2)+1)+13,"")</f>
        <v>46369</v>
      </c>
      <c r="J17" s="22">
        <f>IF(MONTH((DATE(2027,1,1)-WEEKDAY(DATE(2027,1,1),2)+1)+7)=1,(DATE(2027,1,1)-WEEKDAY(DATE(2027,1,1),2)+1)+7,"")</f>
        <v>46391</v>
      </c>
      <c r="K17" s="22">
        <f>IF(MONTH((DATE(2027,1,1)-WEEKDAY(DATE(2027,1,1),2)+1)+8)=1,(DATE(2027,1,1)-WEEKDAY(DATE(2027,1,1),2)+1)+8,"")</f>
        <v>46392</v>
      </c>
      <c r="L17" s="22">
        <f>IF(MONTH((DATE(2027,1,1)-WEEKDAY(DATE(2027,1,1),2)+1)+9)=1,(DATE(2027,1,1)-WEEKDAY(DATE(2027,1,1),2)+1)+9,"")</f>
        <v>46393</v>
      </c>
      <c r="M17" s="22">
        <f>IF(MONTH((DATE(2027,1,1)-WEEKDAY(DATE(2027,1,1),2)+1)+10)=1,(DATE(2027,1,1)-WEEKDAY(DATE(2027,1,1),2)+1)+10,"")</f>
        <v>46394</v>
      </c>
      <c r="N17" s="22">
        <f>IF(MONTH((DATE(2027,1,1)-WEEKDAY(DATE(2027,1,1),2)+1)+11)=1,(DATE(2027,1,1)-WEEKDAY(DATE(2027,1,1),2)+1)+11,"")</f>
        <v>46395</v>
      </c>
      <c r="O17" s="22">
        <f>IF(MONTH((DATE(2027,1,1)-WEEKDAY(DATE(2027,1,1),2)+1)+12)=1,(DATE(2027,1,1)-WEEKDAY(DATE(2027,1,1),2)+1)+12,"")</f>
        <v>46396</v>
      </c>
      <c r="P17" s="22">
        <f>IF(MONTH((DATE(2027,1,1)-WEEKDAY(DATE(2027,1,1),2)+1)+13)=1,(DATE(2027,1,1)-WEEKDAY(DATE(2027,1,1),2)+1)+13,"")</f>
        <v>46397</v>
      </c>
      <c r="R17" s="22">
        <f>IF(MONTH((DATE(2027,2,1)-WEEKDAY(DATE(2027,2,1),2)+1)+7)=2,(DATE(2027,2,1)-WEEKDAY(DATE(2027,2,1),2)+1)+7,"")</f>
        <v>46426</v>
      </c>
      <c r="S17" s="22">
        <f>IF(MONTH((DATE(2027,2,1)-WEEKDAY(DATE(2027,2,1),2)+1)+8)=2,(DATE(2027,2,1)-WEEKDAY(DATE(2027,2,1),2)+1)+8,"")</f>
        <v>46427</v>
      </c>
      <c r="T17" s="22">
        <f>IF(MONTH((DATE(2027,2,1)-WEEKDAY(DATE(2027,2,1),2)+1)+9)=2,(DATE(2027,2,1)-WEEKDAY(DATE(2027,2,1),2)+1)+9,"")</f>
        <v>46428</v>
      </c>
      <c r="U17" s="22">
        <f>IF(MONTH((DATE(2027,2,1)-WEEKDAY(DATE(2027,2,1),2)+1)+10)=2,(DATE(2027,2,1)-WEEKDAY(DATE(2027,2,1),2)+1)+10,"")</f>
        <v>46429</v>
      </c>
      <c r="V17" s="22">
        <f>IF(MONTH((DATE(2027,2,1)-WEEKDAY(DATE(2027,2,1),2)+1)+11)=2,(DATE(2027,2,1)-WEEKDAY(DATE(2027,2,1),2)+1)+11,"")</f>
        <v>46430</v>
      </c>
      <c r="W17" s="22">
        <f>IF(MONTH((DATE(2027,2,1)-WEEKDAY(DATE(2027,2,1),2)+1)+12)=2,(DATE(2027,2,1)-WEEKDAY(DATE(2027,2,1),2)+1)+12,"")</f>
        <v>46431</v>
      </c>
      <c r="X17" s="22">
        <f>IF(MONTH((DATE(2027,2,1)-WEEKDAY(DATE(2027,2,1),2)+1)+13)=2,(DATE(2027,2,1)-WEEKDAY(DATE(2027,2,1),2)+1)+13,"")</f>
        <v>46432</v>
      </c>
    </row>
    <row r="18" spans="2:24" x14ac:dyDescent="0.2">
      <c r="B18" s="22">
        <f>IF(MONTH((DATE(2026,12,1)-WEEKDAY(DATE(2026,12,1),2)+1)+14)=12,(DATE(2026,12,1)-WEEKDAY(DATE(2026,12,1),2)+1)+14,"")</f>
        <v>46370</v>
      </c>
      <c r="C18" s="22">
        <f>IF(MONTH((DATE(2026,12,1)-WEEKDAY(DATE(2026,12,1),2)+1)+15)=12,(DATE(2026,12,1)-WEEKDAY(DATE(2026,12,1),2)+1)+15,"")</f>
        <v>46371</v>
      </c>
      <c r="D18" s="22">
        <f>IF(MONTH((DATE(2026,12,1)-WEEKDAY(DATE(2026,12,1),2)+1)+16)=12,(DATE(2026,12,1)-WEEKDAY(DATE(2026,12,1),2)+1)+16,"")</f>
        <v>46372</v>
      </c>
      <c r="E18" s="22">
        <f>IF(MONTH((DATE(2026,12,1)-WEEKDAY(DATE(2026,12,1),2)+1)+17)=12,(DATE(2026,12,1)-WEEKDAY(DATE(2026,12,1),2)+1)+17,"")</f>
        <v>46373</v>
      </c>
      <c r="F18" s="22">
        <f>IF(MONTH((DATE(2026,12,1)-WEEKDAY(DATE(2026,12,1),2)+1)+18)=12,(DATE(2026,12,1)-WEEKDAY(DATE(2026,12,1),2)+1)+18,"")</f>
        <v>46374</v>
      </c>
      <c r="G18" s="22">
        <f>IF(MONTH((DATE(2026,12,1)-WEEKDAY(DATE(2026,12,1),2)+1)+19)=12,(DATE(2026,12,1)-WEEKDAY(DATE(2026,12,1),2)+1)+19,"")</f>
        <v>46375</v>
      </c>
      <c r="H18" s="22">
        <f>IF(MONTH((DATE(2026,12,1)-WEEKDAY(DATE(2026,12,1),2)+1)+20)=12,(DATE(2026,12,1)-WEEKDAY(DATE(2026,12,1),2)+1)+20,"")</f>
        <v>46376</v>
      </c>
      <c r="J18" s="22">
        <f>IF(MONTH((DATE(2027,1,1)-WEEKDAY(DATE(2027,1,1),2)+1)+14)=1,(DATE(2027,1,1)-WEEKDAY(DATE(2027,1,1),2)+1)+14,"")</f>
        <v>46398</v>
      </c>
      <c r="K18" s="22">
        <f>IF(MONTH((DATE(2027,1,1)-WEEKDAY(DATE(2027,1,1),2)+1)+15)=1,(DATE(2027,1,1)-WEEKDAY(DATE(2027,1,1),2)+1)+15,"")</f>
        <v>46399</v>
      </c>
      <c r="L18" s="22">
        <f>IF(MONTH((DATE(2027,1,1)-WEEKDAY(DATE(2027,1,1),2)+1)+16)=1,(DATE(2027,1,1)-WEEKDAY(DATE(2027,1,1),2)+1)+16,"")</f>
        <v>46400</v>
      </c>
      <c r="M18" s="22">
        <f>IF(MONTH((DATE(2027,1,1)-WEEKDAY(DATE(2027,1,1),2)+1)+17)=1,(DATE(2027,1,1)-WEEKDAY(DATE(2027,1,1),2)+1)+17,"")</f>
        <v>46401</v>
      </c>
      <c r="N18" s="22">
        <f>IF(MONTH((DATE(2027,1,1)-WEEKDAY(DATE(2027,1,1),2)+1)+18)=1,(DATE(2027,1,1)-WEEKDAY(DATE(2027,1,1),2)+1)+18,"")</f>
        <v>46402</v>
      </c>
      <c r="O18" s="22">
        <f>IF(MONTH((DATE(2027,1,1)-WEEKDAY(DATE(2027,1,1),2)+1)+19)=1,(DATE(2027,1,1)-WEEKDAY(DATE(2027,1,1),2)+1)+19,"")</f>
        <v>46403</v>
      </c>
      <c r="P18" s="22">
        <f>IF(MONTH((DATE(2027,1,1)-WEEKDAY(DATE(2027,1,1),2)+1)+20)=1,(DATE(2027,1,1)-WEEKDAY(DATE(2027,1,1),2)+1)+20,"")</f>
        <v>46404</v>
      </c>
      <c r="R18" s="22">
        <f>IF(MONTH((DATE(2027,2,1)-WEEKDAY(DATE(2027,2,1),2)+1)+14)=2,(DATE(2027,2,1)-WEEKDAY(DATE(2027,2,1),2)+1)+14,"")</f>
        <v>46433</v>
      </c>
      <c r="S18" s="22">
        <f>IF(MONTH((DATE(2027,2,1)-WEEKDAY(DATE(2027,2,1),2)+1)+15)=2,(DATE(2027,2,1)-WEEKDAY(DATE(2027,2,1),2)+1)+15,"")</f>
        <v>46434</v>
      </c>
      <c r="T18" s="22">
        <f>IF(MONTH((DATE(2027,2,1)-WEEKDAY(DATE(2027,2,1),2)+1)+16)=2,(DATE(2027,2,1)-WEEKDAY(DATE(2027,2,1),2)+1)+16,"")</f>
        <v>46435</v>
      </c>
      <c r="U18" s="22">
        <f>IF(MONTH((DATE(2027,2,1)-WEEKDAY(DATE(2027,2,1),2)+1)+17)=2,(DATE(2027,2,1)-WEEKDAY(DATE(2027,2,1),2)+1)+17,"")</f>
        <v>46436</v>
      </c>
      <c r="V18" s="22">
        <f>IF(MONTH((DATE(2027,2,1)-WEEKDAY(DATE(2027,2,1),2)+1)+18)=2,(DATE(2027,2,1)-WEEKDAY(DATE(2027,2,1),2)+1)+18,"")</f>
        <v>46437</v>
      </c>
      <c r="W18" s="22">
        <f>IF(MONTH((DATE(2027,2,1)-WEEKDAY(DATE(2027,2,1),2)+1)+19)=2,(DATE(2027,2,1)-WEEKDAY(DATE(2027,2,1),2)+1)+19,"")</f>
        <v>46438</v>
      </c>
      <c r="X18" s="22">
        <f>IF(MONTH((DATE(2027,2,1)-WEEKDAY(DATE(2027,2,1),2)+1)+20)=2,(DATE(2027,2,1)-WEEKDAY(DATE(2027,2,1),2)+1)+20,"")</f>
        <v>46439</v>
      </c>
    </row>
    <row r="19" spans="2:24" x14ac:dyDescent="0.2">
      <c r="B19" s="22">
        <f>IF(MONTH((DATE(2026,12,1)-WEEKDAY(DATE(2026,12,1),2)+1)+21)=12,(DATE(2026,12,1)-WEEKDAY(DATE(2026,12,1),2)+1)+21,"")</f>
        <v>46377</v>
      </c>
      <c r="C19" s="22">
        <f>IF(MONTH((DATE(2026,12,1)-WEEKDAY(DATE(2026,12,1),2)+1)+22)=12,(DATE(2026,12,1)-WEEKDAY(DATE(2026,12,1),2)+1)+22,"")</f>
        <v>46378</v>
      </c>
      <c r="D19" s="22">
        <f>IF(MONTH((DATE(2026,12,1)-WEEKDAY(DATE(2026,12,1),2)+1)+23)=12,(DATE(2026,12,1)-WEEKDAY(DATE(2026,12,1),2)+1)+23,"")</f>
        <v>46379</v>
      </c>
      <c r="E19" s="22">
        <f>IF(MONTH((DATE(2026,12,1)-WEEKDAY(DATE(2026,12,1),2)+1)+24)=12,(DATE(2026,12,1)-WEEKDAY(DATE(2026,12,1),2)+1)+24,"")</f>
        <v>46380</v>
      </c>
      <c r="F19" s="22">
        <f>IF(MONTH((DATE(2026,12,1)-WEEKDAY(DATE(2026,12,1),2)+1)+25)=12,(DATE(2026,12,1)-WEEKDAY(DATE(2026,12,1),2)+1)+25,"")</f>
        <v>46381</v>
      </c>
      <c r="G19" s="22">
        <f>IF(MONTH((DATE(2026,12,1)-WEEKDAY(DATE(2026,12,1),2)+1)+26)=12,(DATE(2026,12,1)-WEEKDAY(DATE(2026,12,1),2)+1)+26,"")</f>
        <v>46382</v>
      </c>
      <c r="H19" s="22">
        <f>IF(MONTH((DATE(2026,12,1)-WEEKDAY(DATE(2026,12,1),2)+1)+27)=12,(DATE(2026,12,1)-WEEKDAY(DATE(2026,12,1),2)+1)+27,"")</f>
        <v>46383</v>
      </c>
      <c r="J19" s="22">
        <f>IF(MONTH((DATE(2027,1,1)-WEEKDAY(DATE(2027,1,1),2)+1)+21)=1,(DATE(2027,1,1)-WEEKDAY(DATE(2027,1,1),2)+1)+21,"")</f>
        <v>46405</v>
      </c>
      <c r="K19" s="22">
        <f>IF(MONTH((DATE(2027,1,1)-WEEKDAY(DATE(2027,1,1),2)+1)+22)=1,(DATE(2027,1,1)-WEEKDAY(DATE(2027,1,1),2)+1)+22,"")</f>
        <v>46406</v>
      </c>
      <c r="L19" s="22">
        <f>IF(MONTH((DATE(2027,1,1)-WEEKDAY(DATE(2027,1,1),2)+1)+23)=1,(DATE(2027,1,1)-WEEKDAY(DATE(2027,1,1),2)+1)+23,"")</f>
        <v>46407</v>
      </c>
      <c r="M19" s="22">
        <f>IF(MONTH((DATE(2027,1,1)-WEEKDAY(DATE(2027,1,1),2)+1)+24)=1,(DATE(2027,1,1)-WEEKDAY(DATE(2027,1,1),2)+1)+24,"")</f>
        <v>46408</v>
      </c>
      <c r="N19" s="22">
        <f>IF(MONTH((DATE(2027,1,1)-WEEKDAY(DATE(2027,1,1),2)+1)+25)=1,(DATE(2027,1,1)-WEEKDAY(DATE(2027,1,1),2)+1)+25,"")</f>
        <v>46409</v>
      </c>
      <c r="O19" s="22">
        <f>IF(MONTH((DATE(2027,1,1)-WEEKDAY(DATE(2027,1,1),2)+1)+26)=1,(DATE(2027,1,1)-WEEKDAY(DATE(2027,1,1),2)+1)+26,"")</f>
        <v>46410</v>
      </c>
      <c r="P19" s="22">
        <f>IF(MONTH((DATE(2027,1,1)-WEEKDAY(DATE(2027,1,1),2)+1)+27)=1,(DATE(2027,1,1)-WEEKDAY(DATE(2027,1,1),2)+1)+27,"")</f>
        <v>46411</v>
      </c>
      <c r="R19" s="22">
        <f>IF(MONTH((DATE(2027,2,1)-WEEKDAY(DATE(2027,2,1),2)+1)+21)=2,(DATE(2027,2,1)-WEEKDAY(DATE(2027,2,1),2)+1)+21,"")</f>
        <v>46440</v>
      </c>
      <c r="S19" s="22">
        <f>IF(MONTH((DATE(2027,2,1)-WEEKDAY(DATE(2027,2,1),2)+1)+22)=2,(DATE(2027,2,1)-WEEKDAY(DATE(2027,2,1),2)+1)+22,"")</f>
        <v>46441</v>
      </c>
      <c r="T19" s="22">
        <f>IF(MONTH((DATE(2027,2,1)-WEEKDAY(DATE(2027,2,1),2)+1)+23)=2,(DATE(2027,2,1)-WEEKDAY(DATE(2027,2,1),2)+1)+23,"")</f>
        <v>46442</v>
      </c>
      <c r="U19" s="22">
        <f>IF(MONTH((DATE(2027,2,1)-WEEKDAY(DATE(2027,2,1),2)+1)+24)=2,(DATE(2027,2,1)-WEEKDAY(DATE(2027,2,1),2)+1)+24,"")</f>
        <v>46443</v>
      </c>
      <c r="V19" s="22">
        <f>IF(MONTH((DATE(2027,2,1)-WEEKDAY(DATE(2027,2,1),2)+1)+25)=2,(DATE(2027,2,1)-WEEKDAY(DATE(2027,2,1),2)+1)+25,"")</f>
        <v>46444</v>
      </c>
      <c r="W19" s="22">
        <f>IF(MONTH((DATE(2027,2,1)-WEEKDAY(DATE(2027,2,1),2)+1)+26)=2,(DATE(2027,2,1)-WEEKDAY(DATE(2027,2,1),2)+1)+26,"")</f>
        <v>46445</v>
      </c>
      <c r="X19" s="22">
        <f>IF(MONTH((DATE(2027,2,1)-WEEKDAY(DATE(2027,2,1),2)+1)+27)=2,(DATE(2027,2,1)-WEEKDAY(DATE(2027,2,1),2)+1)+27,"")</f>
        <v>46446</v>
      </c>
    </row>
    <row r="20" spans="2:24" x14ac:dyDescent="0.2">
      <c r="B20" s="22">
        <f>IF(MONTH((DATE(2026,12,1)-WEEKDAY(DATE(2026,12,1),2)+1)+28)=12,(DATE(2026,12,1)-WEEKDAY(DATE(2026,12,1),2)+1)+28,"")</f>
        <v>46384</v>
      </c>
      <c r="C20" s="22">
        <f>IF(MONTH((DATE(2026,12,1)-WEEKDAY(DATE(2026,12,1),2)+1)+29)=12,(DATE(2026,12,1)-WEEKDAY(DATE(2026,12,1),2)+1)+29,"")</f>
        <v>46385</v>
      </c>
      <c r="D20" s="22">
        <f>IF(MONTH((DATE(2026,12,1)-WEEKDAY(DATE(2026,12,1),2)+1)+30)=12,(DATE(2026,12,1)-WEEKDAY(DATE(2026,12,1),2)+1)+30,"")</f>
        <v>46386</v>
      </c>
      <c r="E20" s="22">
        <f>IF(MONTH((DATE(2026,12,1)-WEEKDAY(DATE(2026,12,1),2)+1)+31)=12,(DATE(2026,12,1)-WEEKDAY(DATE(2026,12,1),2)+1)+31,"")</f>
        <v>46387</v>
      </c>
      <c r="F20" s="22" t="str">
        <f>IF(MONTH((DATE(2026,12,1)-WEEKDAY(DATE(2026,12,1),2)+1)+32)=12,(DATE(2026,12,1)-WEEKDAY(DATE(2026,12,1),2)+1)+32,"")</f>
        <v/>
      </c>
      <c r="G20" s="22" t="str">
        <f>IF(MONTH((DATE(2026,12,1)-WEEKDAY(DATE(2026,12,1),2)+1)+33)=12,(DATE(2026,12,1)-WEEKDAY(DATE(2026,12,1),2)+1)+33,"")</f>
        <v/>
      </c>
      <c r="H20" s="22" t="str">
        <f>IF(MONTH((DATE(2026,12,1)-WEEKDAY(DATE(2026,12,1),2)+1)+34)=12,(DATE(2026,12,1)-WEEKDAY(DATE(2026,12,1),2)+1)+34,"")</f>
        <v/>
      </c>
      <c r="J20" s="22">
        <f>IF(MONTH((DATE(2027,1,1)-WEEKDAY(DATE(2027,1,1),2)+1)+28)=1,(DATE(2027,1,1)-WEEKDAY(DATE(2027,1,1),2)+1)+28,"")</f>
        <v>46412</v>
      </c>
      <c r="K20" s="22">
        <f>IF(MONTH((DATE(2027,1,1)-WEEKDAY(DATE(2027,1,1),2)+1)+29)=1,(DATE(2027,1,1)-WEEKDAY(DATE(2027,1,1),2)+1)+29,"")</f>
        <v>46413</v>
      </c>
      <c r="L20" s="22">
        <f>IF(MONTH((DATE(2027,1,1)-WEEKDAY(DATE(2027,1,1),2)+1)+30)=1,(DATE(2027,1,1)-WEEKDAY(DATE(2027,1,1),2)+1)+30,"")</f>
        <v>46414</v>
      </c>
      <c r="M20" s="22">
        <f>IF(MONTH((DATE(2027,1,1)-WEEKDAY(DATE(2027,1,1),2)+1)+31)=1,(DATE(2027,1,1)-WEEKDAY(DATE(2027,1,1),2)+1)+31,"")</f>
        <v>46415</v>
      </c>
      <c r="N20" s="22">
        <f>IF(MONTH((DATE(2027,1,1)-WEEKDAY(DATE(2027,1,1),2)+1)+32)=1,(DATE(2027,1,1)-WEEKDAY(DATE(2027,1,1),2)+1)+32,"")</f>
        <v>46416</v>
      </c>
      <c r="O20" s="22">
        <f>IF(MONTH((DATE(2027,1,1)-WEEKDAY(DATE(2027,1,1),2)+1)+33)=1,(DATE(2027,1,1)-WEEKDAY(DATE(2027,1,1),2)+1)+33,"")</f>
        <v>46417</v>
      </c>
      <c r="P20" s="22">
        <f>IF(MONTH((DATE(2027,1,1)-WEEKDAY(DATE(2027,1,1),2)+1)+34)=1,(DATE(2027,1,1)-WEEKDAY(DATE(2027,1,1),2)+1)+34,"")</f>
        <v>46418</v>
      </c>
      <c r="R20" s="22" t="str">
        <f>IF(MONTH((DATE(2027,2,1)-WEEKDAY(DATE(2027,2,1),2)+1)+28)=2,(DATE(2027,2,1)-WEEKDAY(DATE(2027,2,1),2)+1)+28,"")</f>
        <v/>
      </c>
      <c r="S20" s="22" t="str">
        <f>IF(MONTH((DATE(2027,2,1)-WEEKDAY(DATE(2027,2,1),2)+1)+29)=2,(DATE(2027,2,1)-WEEKDAY(DATE(2027,2,1),2)+1)+29,"")</f>
        <v/>
      </c>
      <c r="T20" s="22" t="str">
        <f>IF(MONTH((DATE(2027,2,1)-WEEKDAY(DATE(2027,2,1),2)+1)+30)=2,(DATE(2027,2,1)-WEEKDAY(DATE(2027,2,1),2)+1)+30,"")</f>
        <v/>
      </c>
      <c r="U20" s="22" t="str">
        <f>IF(MONTH((DATE(2027,2,1)-WEEKDAY(DATE(2027,2,1),2)+1)+31)=2,(DATE(2027,2,1)-WEEKDAY(DATE(2027,2,1),2)+1)+31,"")</f>
        <v/>
      </c>
      <c r="V20" s="22" t="str">
        <f>IF(MONTH((DATE(2027,2,1)-WEEKDAY(DATE(2027,2,1),2)+1)+32)=2,(DATE(2027,2,1)-WEEKDAY(DATE(2027,2,1),2)+1)+32,"")</f>
        <v/>
      </c>
      <c r="W20" s="22" t="str">
        <f>IF(MONTH((DATE(2027,2,1)-WEEKDAY(DATE(2027,2,1),2)+1)+33)=2,(DATE(2027,2,1)-WEEKDAY(DATE(2027,2,1),2)+1)+33,"")</f>
        <v/>
      </c>
      <c r="X20" s="22" t="str">
        <f>IF(MONTH((DATE(2027,2,1)-WEEKDAY(DATE(2027,2,1),2)+1)+34)=2,(DATE(2027,2,1)-WEEKDAY(DATE(2027,2,1),2)+1)+34,"")</f>
        <v/>
      </c>
    </row>
    <row r="21" spans="2:24" x14ac:dyDescent="0.2">
      <c r="B21" s="22" t="str">
        <f>IF(MONTH((DATE(2026,12,1)-WEEKDAY(DATE(2026,12,1),2)+1)+35)=12,(DATE(2026,12,1)-WEEKDAY(DATE(2026,12,1),2)+1)+35,"")</f>
        <v/>
      </c>
      <c r="C21" s="22" t="str">
        <f>IF(MONTH((DATE(2026,12,1)-WEEKDAY(DATE(2026,12,1),2)+1)+36)=12,(DATE(2026,12,1)-WEEKDAY(DATE(2026,12,1),2)+1)+36,"")</f>
        <v/>
      </c>
      <c r="D21" s="22" t="str">
        <f>IF(MONTH((DATE(2026,12,1)-WEEKDAY(DATE(2026,12,1),2)+1)+37)=12,(DATE(2026,12,1)-WEEKDAY(DATE(2026,12,1),2)+1)+37,"")</f>
        <v/>
      </c>
      <c r="E21" s="22" t="str">
        <f>IF(MONTH((DATE(2026,12,1)-WEEKDAY(DATE(2026,12,1),2)+1)+38)=12,(DATE(2026,12,1)-WEEKDAY(DATE(2026,12,1),2)+1)+38,"")</f>
        <v/>
      </c>
      <c r="F21" s="22" t="str">
        <f>IF(MONTH((DATE(2026,12,1)-WEEKDAY(DATE(2026,12,1),2)+1)+39)=12,(DATE(2026,12,1)-WEEKDAY(DATE(2026,12,1),2)+1)+39,"")</f>
        <v/>
      </c>
      <c r="G21" s="22" t="str">
        <f>IF(MONTH((DATE(2026,12,1)-WEEKDAY(DATE(2026,12,1),2)+1)+40)=12,(DATE(2026,12,1)-WEEKDAY(DATE(2026,12,1),2)+1)+40,"")</f>
        <v/>
      </c>
      <c r="H21" s="22" t="str">
        <f>IF(MONTH((DATE(2026,12,1)-WEEKDAY(DATE(2026,12,1),2)+1)+41)=12,(DATE(2026,12,1)-WEEKDAY(DATE(2026,12,1),2)+1)+41,"")</f>
        <v/>
      </c>
      <c r="J21" s="22" t="str">
        <f>IF(MONTH((DATE(2027,1,1)-WEEKDAY(DATE(2027,1,1),2)+1)+35)=1,(DATE(2027,1,1)-WEEKDAY(DATE(2027,1,1),2)+1)+35,"")</f>
        <v/>
      </c>
      <c r="K21" s="22" t="str">
        <f>IF(MONTH((DATE(2027,1,1)-WEEKDAY(DATE(2027,1,1),2)+1)+36)=1,(DATE(2027,1,1)-WEEKDAY(DATE(2027,1,1),2)+1)+36,"")</f>
        <v/>
      </c>
      <c r="L21" s="22" t="str">
        <f>IF(MONTH((DATE(2027,1,1)-WEEKDAY(DATE(2027,1,1),2)+1)+37)=1,(DATE(2027,1,1)-WEEKDAY(DATE(2027,1,1),2)+1)+37,"")</f>
        <v/>
      </c>
      <c r="M21" s="22" t="str">
        <f>IF(MONTH((DATE(2027,1,1)-WEEKDAY(DATE(2027,1,1),2)+1)+38)=1,(DATE(2027,1,1)-WEEKDAY(DATE(2027,1,1),2)+1)+38,"")</f>
        <v/>
      </c>
      <c r="N21" s="22" t="str">
        <f>IF(MONTH((DATE(2027,1,1)-WEEKDAY(DATE(2027,1,1),2)+1)+39)=1,(DATE(2027,1,1)-WEEKDAY(DATE(2027,1,1),2)+1)+39,"")</f>
        <v/>
      </c>
      <c r="O21" s="22" t="str">
        <f>IF(MONTH((DATE(2027,1,1)-WEEKDAY(DATE(2027,1,1),2)+1)+40)=1,(DATE(2027,1,1)-WEEKDAY(DATE(2027,1,1),2)+1)+40,"")</f>
        <v/>
      </c>
      <c r="P21" s="22" t="str">
        <f>IF(MONTH((DATE(2027,1,1)-WEEKDAY(DATE(2027,1,1),2)+1)+41)=1,(DATE(2027,1,1)-WEEKDAY(DATE(2027,1,1),2)+1)+41,"")</f>
        <v/>
      </c>
      <c r="R21" s="22" t="str">
        <f>IF(MONTH((DATE(2027,2,1)-WEEKDAY(DATE(2027,2,1),2)+1)+35)=2,(DATE(2027,2,1)-WEEKDAY(DATE(2027,2,1),2)+1)+35,"")</f>
        <v/>
      </c>
      <c r="S21" s="22" t="str">
        <f>IF(MONTH((DATE(2027,2,1)-WEEKDAY(DATE(2027,2,1),2)+1)+36)=2,(DATE(2027,2,1)-WEEKDAY(DATE(2027,2,1),2)+1)+36,"")</f>
        <v/>
      </c>
      <c r="T21" s="22" t="str">
        <f>IF(MONTH((DATE(2027,2,1)-WEEKDAY(DATE(2027,2,1),2)+1)+37)=2,(DATE(2027,2,1)-WEEKDAY(DATE(2027,2,1),2)+1)+37,"")</f>
        <v/>
      </c>
      <c r="U21" s="22" t="str">
        <f>IF(MONTH((DATE(2027,2,1)-WEEKDAY(DATE(2027,2,1),2)+1)+38)=2,(DATE(2027,2,1)-WEEKDAY(DATE(2027,2,1),2)+1)+38,"")</f>
        <v/>
      </c>
      <c r="V21" s="22" t="str">
        <f>IF(MONTH((DATE(2027,2,1)-WEEKDAY(DATE(2027,2,1),2)+1)+39)=2,(DATE(2027,2,1)-WEEKDAY(DATE(2027,2,1),2)+1)+39,"")</f>
        <v/>
      </c>
      <c r="W21" s="22" t="str">
        <f>IF(MONTH((DATE(2027,2,1)-WEEKDAY(DATE(2027,2,1),2)+1)+40)=2,(DATE(2027,2,1)-WEEKDAY(DATE(2027,2,1),2)+1)+40,"")</f>
        <v/>
      </c>
      <c r="X21" s="22" t="str">
        <f>IF(MONTH((DATE(2027,2,1)-WEEKDAY(DATE(2027,2,1),2)+1)+41)=2,(DATE(2027,2,1)-WEEKDAY(DATE(2027,2,1),2)+1)+41,"")</f>
        <v/>
      </c>
    </row>
    <row r="23" spans="2:24" x14ac:dyDescent="0.2">
      <c r="B23" s="32" t="s">
        <v>87</v>
      </c>
      <c r="C23" s="33"/>
      <c r="D23" s="33"/>
      <c r="E23" s="33"/>
      <c r="F23" s="33"/>
      <c r="G23" s="33"/>
      <c r="H23" s="33"/>
      <c r="J23" s="32" t="s">
        <v>88</v>
      </c>
      <c r="K23" s="33"/>
      <c r="L23" s="33"/>
      <c r="M23" s="33"/>
      <c r="N23" s="33"/>
      <c r="O23" s="33"/>
      <c r="P23" s="33"/>
      <c r="R23" s="32" t="s">
        <v>89</v>
      </c>
      <c r="S23" s="33"/>
      <c r="T23" s="33"/>
      <c r="U23" s="33"/>
      <c r="V23" s="33"/>
      <c r="W23" s="33"/>
      <c r="X23" s="33"/>
    </row>
    <row r="24" spans="2:24" x14ac:dyDescent="0.2">
      <c r="B24" s="21" t="s">
        <v>75</v>
      </c>
      <c r="C24" s="21" t="s">
        <v>76</v>
      </c>
      <c r="D24" s="21" t="s">
        <v>77</v>
      </c>
      <c r="E24" s="21" t="s">
        <v>78</v>
      </c>
      <c r="F24" s="21" t="s">
        <v>79</v>
      </c>
      <c r="G24" s="21" t="s">
        <v>80</v>
      </c>
      <c r="H24" s="21" t="s">
        <v>81</v>
      </c>
      <c r="J24" s="21" t="s">
        <v>75</v>
      </c>
      <c r="K24" s="21" t="s">
        <v>76</v>
      </c>
      <c r="L24" s="21" t="s">
        <v>77</v>
      </c>
      <c r="M24" s="21" t="s">
        <v>78</v>
      </c>
      <c r="N24" s="21" t="s">
        <v>79</v>
      </c>
      <c r="O24" s="21" t="s">
        <v>80</v>
      </c>
      <c r="P24" s="21" t="s">
        <v>81</v>
      </c>
      <c r="R24" s="21" t="s">
        <v>75</v>
      </c>
      <c r="S24" s="21" t="s">
        <v>76</v>
      </c>
      <c r="T24" s="21" t="s">
        <v>77</v>
      </c>
      <c r="U24" s="21" t="s">
        <v>78</v>
      </c>
      <c r="V24" s="21" t="s">
        <v>79</v>
      </c>
      <c r="W24" s="21" t="s">
        <v>80</v>
      </c>
      <c r="X24" s="21" t="s">
        <v>81</v>
      </c>
    </row>
    <row r="25" spans="2:24" x14ac:dyDescent="0.2">
      <c r="B25" s="22">
        <f>IF(MONTH((DATE(2027,3,1)-WEEKDAY(DATE(2027,3,1),2)+1)+0)=3,(DATE(2027,3,1)-WEEKDAY(DATE(2027,3,1),2)+1)+0,"")</f>
        <v>46447</v>
      </c>
      <c r="C25" s="22">
        <f>IF(MONTH((DATE(2027,3,1)-WEEKDAY(DATE(2027,3,1),2)+1)+1)=3,(DATE(2027,3,1)-WEEKDAY(DATE(2027,3,1),2)+1)+1,"")</f>
        <v>46448</v>
      </c>
      <c r="D25" s="22">
        <f>IF(MONTH((DATE(2027,3,1)-WEEKDAY(DATE(2027,3,1),2)+1)+2)=3,(DATE(2027,3,1)-WEEKDAY(DATE(2027,3,1),2)+1)+2,"")</f>
        <v>46449</v>
      </c>
      <c r="E25" s="22">
        <f>IF(MONTH((DATE(2027,3,1)-WEEKDAY(DATE(2027,3,1),2)+1)+3)=3,(DATE(2027,3,1)-WEEKDAY(DATE(2027,3,1),2)+1)+3,"")</f>
        <v>46450</v>
      </c>
      <c r="F25" s="22">
        <f>IF(MONTH((DATE(2027,3,1)-WEEKDAY(DATE(2027,3,1),2)+1)+4)=3,(DATE(2027,3,1)-WEEKDAY(DATE(2027,3,1),2)+1)+4,"")</f>
        <v>46451</v>
      </c>
      <c r="G25" s="22">
        <f>IF(MONTH((DATE(2027,3,1)-WEEKDAY(DATE(2027,3,1),2)+1)+5)=3,(DATE(2027,3,1)-WEEKDAY(DATE(2027,3,1),2)+1)+5,"")</f>
        <v>46452</v>
      </c>
      <c r="H25" s="22">
        <f>IF(MONTH((DATE(2027,3,1)-WEEKDAY(DATE(2027,3,1),2)+1)+6)=3,(DATE(2027,3,1)-WEEKDAY(DATE(2027,3,1),2)+1)+6,"")</f>
        <v>46453</v>
      </c>
      <c r="J25" s="22" t="str">
        <f>IF(MONTH((DATE(2027,4,1)-WEEKDAY(DATE(2027,4,1),2)+1)+0)=4,(DATE(2027,4,1)-WEEKDAY(DATE(2027,4,1),2)+1)+0,"")</f>
        <v/>
      </c>
      <c r="K25" s="22" t="str">
        <f>IF(MONTH((DATE(2027,4,1)-WEEKDAY(DATE(2027,4,1),2)+1)+1)=4,(DATE(2027,4,1)-WEEKDAY(DATE(2027,4,1),2)+1)+1,"")</f>
        <v/>
      </c>
      <c r="L25" s="22" t="str">
        <f>IF(MONTH((DATE(2027,4,1)-WEEKDAY(DATE(2027,4,1),2)+1)+2)=4,(DATE(2027,4,1)-WEEKDAY(DATE(2027,4,1),2)+1)+2,"")</f>
        <v/>
      </c>
      <c r="M25" s="22">
        <f>IF(MONTH((DATE(2027,4,1)-WEEKDAY(DATE(2027,4,1),2)+1)+3)=4,(DATE(2027,4,1)-WEEKDAY(DATE(2027,4,1),2)+1)+3,"")</f>
        <v>46478</v>
      </c>
      <c r="N25" s="22">
        <f>IF(MONTH((DATE(2027,4,1)-WEEKDAY(DATE(2027,4,1),2)+1)+4)=4,(DATE(2027,4,1)-WEEKDAY(DATE(2027,4,1),2)+1)+4,"")</f>
        <v>46479</v>
      </c>
      <c r="O25" s="22">
        <f>IF(MONTH((DATE(2027,4,1)-WEEKDAY(DATE(2027,4,1),2)+1)+5)=4,(DATE(2027,4,1)-WEEKDAY(DATE(2027,4,1),2)+1)+5,"")</f>
        <v>46480</v>
      </c>
      <c r="P25" s="22">
        <f>IF(MONTH((DATE(2027,4,1)-WEEKDAY(DATE(2027,4,1),2)+1)+6)=4,(DATE(2027,4,1)-WEEKDAY(DATE(2027,4,1),2)+1)+6,"")</f>
        <v>46481</v>
      </c>
      <c r="R25" s="22" t="str">
        <f>IF(MONTH((DATE(2027,5,1)-WEEKDAY(DATE(2027,5,1),2)+1)+0)=5,(DATE(2027,5,1)-WEEKDAY(DATE(2027,5,1),2)+1)+0,"")</f>
        <v/>
      </c>
      <c r="S25" s="22" t="str">
        <f>IF(MONTH((DATE(2027,5,1)-WEEKDAY(DATE(2027,5,1),2)+1)+1)=5,(DATE(2027,5,1)-WEEKDAY(DATE(2027,5,1),2)+1)+1,"")</f>
        <v/>
      </c>
      <c r="T25" s="22" t="str">
        <f>IF(MONTH((DATE(2027,5,1)-WEEKDAY(DATE(2027,5,1),2)+1)+2)=5,(DATE(2027,5,1)-WEEKDAY(DATE(2027,5,1),2)+1)+2,"")</f>
        <v/>
      </c>
      <c r="U25" s="22" t="str">
        <f>IF(MONTH((DATE(2027,5,1)-WEEKDAY(DATE(2027,5,1),2)+1)+3)=5,(DATE(2027,5,1)-WEEKDAY(DATE(2027,5,1),2)+1)+3,"")</f>
        <v/>
      </c>
      <c r="V25" s="22" t="str">
        <f>IF(MONTH((DATE(2027,5,1)-WEEKDAY(DATE(2027,5,1),2)+1)+4)=5,(DATE(2027,5,1)-WEEKDAY(DATE(2027,5,1),2)+1)+4,"")</f>
        <v/>
      </c>
      <c r="W25" s="22">
        <f>IF(MONTH((DATE(2027,5,1)-WEEKDAY(DATE(2027,5,1),2)+1)+5)=5,(DATE(2027,5,1)-WEEKDAY(DATE(2027,5,1),2)+1)+5,"")</f>
        <v>46508</v>
      </c>
      <c r="X25" s="22">
        <f>IF(MONTH((DATE(2027,5,1)-WEEKDAY(DATE(2027,5,1),2)+1)+6)=5,(DATE(2027,5,1)-WEEKDAY(DATE(2027,5,1),2)+1)+6,"")</f>
        <v>46509</v>
      </c>
    </row>
    <row r="26" spans="2:24" x14ac:dyDescent="0.2">
      <c r="B26" s="22">
        <f>IF(MONTH((DATE(2027,3,1)-WEEKDAY(DATE(2027,3,1),2)+1)+7)=3,(DATE(2027,3,1)-WEEKDAY(DATE(2027,3,1),2)+1)+7,"")</f>
        <v>46454</v>
      </c>
      <c r="C26" s="22">
        <f>IF(MONTH((DATE(2027,3,1)-WEEKDAY(DATE(2027,3,1),2)+1)+8)=3,(DATE(2027,3,1)-WEEKDAY(DATE(2027,3,1),2)+1)+8,"")</f>
        <v>46455</v>
      </c>
      <c r="D26" s="22">
        <f>IF(MONTH((DATE(2027,3,1)-WEEKDAY(DATE(2027,3,1),2)+1)+9)=3,(DATE(2027,3,1)-WEEKDAY(DATE(2027,3,1),2)+1)+9,"")</f>
        <v>46456</v>
      </c>
      <c r="E26" s="22">
        <f>IF(MONTH((DATE(2027,3,1)-WEEKDAY(DATE(2027,3,1),2)+1)+10)=3,(DATE(2027,3,1)-WEEKDAY(DATE(2027,3,1),2)+1)+10,"")</f>
        <v>46457</v>
      </c>
      <c r="F26" s="22">
        <f>IF(MONTH((DATE(2027,3,1)-WEEKDAY(DATE(2027,3,1),2)+1)+11)=3,(DATE(2027,3,1)-WEEKDAY(DATE(2027,3,1),2)+1)+11,"")</f>
        <v>46458</v>
      </c>
      <c r="G26" s="22">
        <f>IF(MONTH((DATE(2027,3,1)-WEEKDAY(DATE(2027,3,1),2)+1)+12)=3,(DATE(2027,3,1)-WEEKDAY(DATE(2027,3,1),2)+1)+12,"")</f>
        <v>46459</v>
      </c>
      <c r="H26" s="22">
        <f>IF(MONTH((DATE(2027,3,1)-WEEKDAY(DATE(2027,3,1),2)+1)+13)=3,(DATE(2027,3,1)-WEEKDAY(DATE(2027,3,1),2)+1)+13,"")</f>
        <v>46460</v>
      </c>
      <c r="J26" s="22">
        <f>IF(MONTH((DATE(2027,4,1)-WEEKDAY(DATE(2027,4,1),2)+1)+7)=4,(DATE(2027,4,1)-WEEKDAY(DATE(2027,4,1),2)+1)+7,"")</f>
        <v>46482</v>
      </c>
      <c r="K26" s="22">
        <f>IF(MONTH((DATE(2027,4,1)-WEEKDAY(DATE(2027,4,1),2)+1)+8)=4,(DATE(2027,4,1)-WEEKDAY(DATE(2027,4,1),2)+1)+8,"")</f>
        <v>46483</v>
      </c>
      <c r="L26" s="22">
        <f>IF(MONTH((DATE(2027,4,1)-WEEKDAY(DATE(2027,4,1),2)+1)+9)=4,(DATE(2027,4,1)-WEEKDAY(DATE(2027,4,1),2)+1)+9,"")</f>
        <v>46484</v>
      </c>
      <c r="M26" s="22">
        <f>IF(MONTH((DATE(2027,4,1)-WEEKDAY(DATE(2027,4,1),2)+1)+10)=4,(DATE(2027,4,1)-WEEKDAY(DATE(2027,4,1),2)+1)+10,"")</f>
        <v>46485</v>
      </c>
      <c r="N26" s="22">
        <f>IF(MONTH((DATE(2027,4,1)-WEEKDAY(DATE(2027,4,1),2)+1)+11)=4,(DATE(2027,4,1)-WEEKDAY(DATE(2027,4,1),2)+1)+11,"")</f>
        <v>46486</v>
      </c>
      <c r="O26" s="22">
        <f>IF(MONTH((DATE(2027,4,1)-WEEKDAY(DATE(2027,4,1),2)+1)+12)=4,(DATE(2027,4,1)-WEEKDAY(DATE(2027,4,1),2)+1)+12,"")</f>
        <v>46487</v>
      </c>
      <c r="P26" s="22">
        <f>IF(MONTH((DATE(2027,4,1)-WEEKDAY(DATE(2027,4,1),2)+1)+13)=4,(DATE(2027,4,1)-WEEKDAY(DATE(2027,4,1),2)+1)+13,"")</f>
        <v>46488</v>
      </c>
      <c r="R26" s="22">
        <f>IF(MONTH((DATE(2027,5,1)-WEEKDAY(DATE(2027,5,1),2)+1)+7)=5,(DATE(2027,5,1)-WEEKDAY(DATE(2027,5,1),2)+1)+7,"")</f>
        <v>46510</v>
      </c>
      <c r="S26" s="22">
        <f>IF(MONTH((DATE(2027,5,1)-WEEKDAY(DATE(2027,5,1),2)+1)+8)=5,(DATE(2027,5,1)-WEEKDAY(DATE(2027,5,1),2)+1)+8,"")</f>
        <v>46511</v>
      </c>
      <c r="T26" s="22">
        <f>IF(MONTH((DATE(2027,5,1)-WEEKDAY(DATE(2027,5,1),2)+1)+9)=5,(DATE(2027,5,1)-WEEKDAY(DATE(2027,5,1),2)+1)+9,"")</f>
        <v>46512</v>
      </c>
      <c r="U26" s="22">
        <f>IF(MONTH((DATE(2027,5,1)-WEEKDAY(DATE(2027,5,1),2)+1)+10)=5,(DATE(2027,5,1)-WEEKDAY(DATE(2027,5,1),2)+1)+10,"")</f>
        <v>46513</v>
      </c>
      <c r="V26" s="22">
        <f>IF(MONTH((DATE(2027,5,1)-WEEKDAY(DATE(2027,5,1),2)+1)+11)=5,(DATE(2027,5,1)-WEEKDAY(DATE(2027,5,1),2)+1)+11,"")</f>
        <v>46514</v>
      </c>
      <c r="W26" s="22">
        <f>IF(MONTH((DATE(2027,5,1)-WEEKDAY(DATE(2027,5,1),2)+1)+12)=5,(DATE(2027,5,1)-WEEKDAY(DATE(2027,5,1),2)+1)+12,"")</f>
        <v>46515</v>
      </c>
      <c r="X26" s="22">
        <f>IF(MONTH((DATE(2027,5,1)-WEEKDAY(DATE(2027,5,1),2)+1)+13)=5,(DATE(2027,5,1)-WEEKDAY(DATE(2027,5,1),2)+1)+13,"")</f>
        <v>46516</v>
      </c>
    </row>
    <row r="27" spans="2:24" x14ac:dyDescent="0.2">
      <c r="B27" s="22">
        <f>IF(MONTH((DATE(2027,3,1)-WEEKDAY(DATE(2027,3,1),2)+1)+14)=3,(DATE(2027,3,1)-WEEKDAY(DATE(2027,3,1),2)+1)+14,"")</f>
        <v>46461</v>
      </c>
      <c r="C27" s="22">
        <f>IF(MONTH((DATE(2027,3,1)-WEEKDAY(DATE(2027,3,1),2)+1)+15)=3,(DATE(2027,3,1)-WEEKDAY(DATE(2027,3,1),2)+1)+15,"")</f>
        <v>46462</v>
      </c>
      <c r="D27" s="22">
        <f>IF(MONTH((DATE(2027,3,1)-WEEKDAY(DATE(2027,3,1),2)+1)+16)=3,(DATE(2027,3,1)-WEEKDAY(DATE(2027,3,1),2)+1)+16,"")</f>
        <v>46463</v>
      </c>
      <c r="E27" s="22">
        <f>IF(MONTH((DATE(2027,3,1)-WEEKDAY(DATE(2027,3,1),2)+1)+17)=3,(DATE(2027,3,1)-WEEKDAY(DATE(2027,3,1),2)+1)+17,"")</f>
        <v>46464</v>
      </c>
      <c r="F27" s="22">
        <f>IF(MONTH((DATE(2027,3,1)-WEEKDAY(DATE(2027,3,1),2)+1)+18)=3,(DATE(2027,3,1)-WEEKDAY(DATE(2027,3,1),2)+1)+18,"")</f>
        <v>46465</v>
      </c>
      <c r="G27" s="22">
        <f>IF(MONTH((DATE(2027,3,1)-WEEKDAY(DATE(2027,3,1),2)+1)+19)=3,(DATE(2027,3,1)-WEEKDAY(DATE(2027,3,1),2)+1)+19,"")</f>
        <v>46466</v>
      </c>
      <c r="H27" s="22">
        <f>IF(MONTH((DATE(2027,3,1)-WEEKDAY(DATE(2027,3,1),2)+1)+20)=3,(DATE(2027,3,1)-WEEKDAY(DATE(2027,3,1),2)+1)+20,"")</f>
        <v>46467</v>
      </c>
      <c r="J27" s="22">
        <f>IF(MONTH((DATE(2027,4,1)-WEEKDAY(DATE(2027,4,1),2)+1)+14)=4,(DATE(2027,4,1)-WEEKDAY(DATE(2027,4,1),2)+1)+14,"")</f>
        <v>46489</v>
      </c>
      <c r="K27" s="22">
        <f>IF(MONTH((DATE(2027,4,1)-WEEKDAY(DATE(2027,4,1),2)+1)+15)=4,(DATE(2027,4,1)-WEEKDAY(DATE(2027,4,1),2)+1)+15,"")</f>
        <v>46490</v>
      </c>
      <c r="L27" s="22">
        <f>IF(MONTH((DATE(2027,4,1)-WEEKDAY(DATE(2027,4,1),2)+1)+16)=4,(DATE(2027,4,1)-WEEKDAY(DATE(2027,4,1),2)+1)+16,"")</f>
        <v>46491</v>
      </c>
      <c r="M27" s="22">
        <f>IF(MONTH((DATE(2027,4,1)-WEEKDAY(DATE(2027,4,1),2)+1)+17)=4,(DATE(2027,4,1)-WEEKDAY(DATE(2027,4,1),2)+1)+17,"")</f>
        <v>46492</v>
      </c>
      <c r="N27" s="22">
        <f>IF(MONTH((DATE(2027,4,1)-WEEKDAY(DATE(2027,4,1),2)+1)+18)=4,(DATE(2027,4,1)-WEEKDAY(DATE(2027,4,1),2)+1)+18,"")</f>
        <v>46493</v>
      </c>
      <c r="O27" s="22">
        <f>IF(MONTH((DATE(2027,4,1)-WEEKDAY(DATE(2027,4,1),2)+1)+19)=4,(DATE(2027,4,1)-WEEKDAY(DATE(2027,4,1),2)+1)+19,"")</f>
        <v>46494</v>
      </c>
      <c r="P27" s="22">
        <f>IF(MONTH((DATE(2027,4,1)-WEEKDAY(DATE(2027,4,1),2)+1)+20)=4,(DATE(2027,4,1)-WEEKDAY(DATE(2027,4,1),2)+1)+20,"")</f>
        <v>46495</v>
      </c>
      <c r="R27" s="22">
        <f>IF(MONTH((DATE(2027,5,1)-WEEKDAY(DATE(2027,5,1),2)+1)+14)=5,(DATE(2027,5,1)-WEEKDAY(DATE(2027,5,1),2)+1)+14,"")</f>
        <v>46517</v>
      </c>
      <c r="S27" s="22">
        <f>IF(MONTH((DATE(2027,5,1)-WEEKDAY(DATE(2027,5,1),2)+1)+15)=5,(DATE(2027,5,1)-WEEKDAY(DATE(2027,5,1),2)+1)+15,"")</f>
        <v>46518</v>
      </c>
      <c r="T27" s="22">
        <f>IF(MONTH((DATE(2027,5,1)-WEEKDAY(DATE(2027,5,1),2)+1)+16)=5,(DATE(2027,5,1)-WEEKDAY(DATE(2027,5,1),2)+1)+16,"")</f>
        <v>46519</v>
      </c>
      <c r="U27" s="22">
        <f>IF(MONTH((DATE(2027,5,1)-WEEKDAY(DATE(2027,5,1),2)+1)+17)=5,(DATE(2027,5,1)-WEEKDAY(DATE(2027,5,1),2)+1)+17,"")</f>
        <v>46520</v>
      </c>
      <c r="V27" s="22">
        <f>IF(MONTH((DATE(2027,5,1)-WEEKDAY(DATE(2027,5,1),2)+1)+18)=5,(DATE(2027,5,1)-WEEKDAY(DATE(2027,5,1),2)+1)+18,"")</f>
        <v>46521</v>
      </c>
      <c r="W27" s="22">
        <f>IF(MONTH((DATE(2027,5,1)-WEEKDAY(DATE(2027,5,1),2)+1)+19)=5,(DATE(2027,5,1)-WEEKDAY(DATE(2027,5,1),2)+1)+19,"")</f>
        <v>46522</v>
      </c>
      <c r="X27" s="22">
        <f>IF(MONTH((DATE(2027,5,1)-WEEKDAY(DATE(2027,5,1),2)+1)+20)=5,(DATE(2027,5,1)-WEEKDAY(DATE(2027,5,1),2)+1)+20,"")</f>
        <v>46523</v>
      </c>
    </row>
    <row r="28" spans="2:24" x14ac:dyDescent="0.2">
      <c r="B28" s="22">
        <f>IF(MONTH((DATE(2027,3,1)-WEEKDAY(DATE(2027,3,1),2)+1)+21)=3,(DATE(2027,3,1)-WEEKDAY(DATE(2027,3,1),2)+1)+21,"")</f>
        <v>46468</v>
      </c>
      <c r="C28" s="22">
        <f>IF(MONTH((DATE(2027,3,1)-WEEKDAY(DATE(2027,3,1),2)+1)+22)=3,(DATE(2027,3,1)-WEEKDAY(DATE(2027,3,1),2)+1)+22,"")</f>
        <v>46469</v>
      </c>
      <c r="D28" s="22">
        <f>IF(MONTH((DATE(2027,3,1)-WEEKDAY(DATE(2027,3,1),2)+1)+23)=3,(DATE(2027,3,1)-WEEKDAY(DATE(2027,3,1),2)+1)+23,"")</f>
        <v>46470</v>
      </c>
      <c r="E28" s="22">
        <f>IF(MONTH((DATE(2027,3,1)-WEEKDAY(DATE(2027,3,1),2)+1)+24)=3,(DATE(2027,3,1)-WEEKDAY(DATE(2027,3,1),2)+1)+24,"")</f>
        <v>46471</v>
      </c>
      <c r="F28" s="22">
        <f>IF(MONTH((DATE(2027,3,1)-WEEKDAY(DATE(2027,3,1),2)+1)+25)=3,(DATE(2027,3,1)-WEEKDAY(DATE(2027,3,1),2)+1)+25,"")</f>
        <v>46472</v>
      </c>
      <c r="G28" s="22">
        <f>IF(MONTH((DATE(2027,3,1)-WEEKDAY(DATE(2027,3,1),2)+1)+26)=3,(DATE(2027,3,1)-WEEKDAY(DATE(2027,3,1),2)+1)+26,"")</f>
        <v>46473</v>
      </c>
      <c r="H28" s="22">
        <f>IF(MONTH((DATE(2027,3,1)-WEEKDAY(DATE(2027,3,1),2)+1)+27)=3,(DATE(2027,3,1)-WEEKDAY(DATE(2027,3,1),2)+1)+27,"")</f>
        <v>46474</v>
      </c>
      <c r="J28" s="22">
        <f>IF(MONTH((DATE(2027,4,1)-WEEKDAY(DATE(2027,4,1),2)+1)+21)=4,(DATE(2027,4,1)-WEEKDAY(DATE(2027,4,1),2)+1)+21,"")</f>
        <v>46496</v>
      </c>
      <c r="K28" s="22">
        <f>IF(MONTH((DATE(2027,4,1)-WEEKDAY(DATE(2027,4,1),2)+1)+22)=4,(DATE(2027,4,1)-WEEKDAY(DATE(2027,4,1),2)+1)+22,"")</f>
        <v>46497</v>
      </c>
      <c r="L28" s="22">
        <f>IF(MONTH((DATE(2027,4,1)-WEEKDAY(DATE(2027,4,1),2)+1)+23)=4,(DATE(2027,4,1)-WEEKDAY(DATE(2027,4,1),2)+1)+23,"")</f>
        <v>46498</v>
      </c>
      <c r="M28" s="22">
        <f>IF(MONTH((DATE(2027,4,1)-WEEKDAY(DATE(2027,4,1),2)+1)+24)=4,(DATE(2027,4,1)-WEEKDAY(DATE(2027,4,1),2)+1)+24,"")</f>
        <v>46499</v>
      </c>
      <c r="N28" s="22">
        <f>IF(MONTH((DATE(2027,4,1)-WEEKDAY(DATE(2027,4,1),2)+1)+25)=4,(DATE(2027,4,1)-WEEKDAY(DATE(2027,4,1),2)+1)+25,"")</f>
        <v>46500</v>
      </c>
      <c r="O28" s="22">
        <f>IF(MONTH((DATE(2027,4,1)-WEEKDAY(DATE(2027,4,1),2)+1)+26)=4,(DATE(2027,4,1)-WEEKDAY(DATE(2027,4,1),2)+1)+26,"")</f>
        <v>46501</v>
      </c>
      <c r="P28" s="22">
        <f>IF(MONTH((DATE(2027,4,1)-WEEKDAY(DATE(2027,4,1),2)+1)+27)=4,(DATE(2027,4,1)-WEEKDAY(DATE(2027,4,1),2)+1)+27,"")</f>
        <v>46502</v>
      </c>
      <c r="R28" s="22">
        <f>IF(MONTH((DATE(2027,5,1)-WEEKDAY(DATE(2027,5,1),2)+1)+21)=5,(DATE(2027,5,1)-WEEKDAY(DATE(2027,5,1),2)+1)+21,"")</f>
        <v>46524</v>
      </c>
      <c r="S28" s="22">
        <f>IF(MONTH((DATE(2027,5,1)-WEEKDAY(DATE(2027,5,1),2)+1)+22)=5,(DATE(2027,5,1)-WEEKDAY(DATE(2027,5,1),2)+1)+22,"")</f>
        <v>46525</v>
      </c>
      <c r="T28" s="22">
        <f>IF(MONTH((DATE(2027,5,1)-WEEKDAY(DATE(2027,5,1),2)+1)+23)=5,(DATE(2027,5,1)-WEEKDAY(DATE(2027,5,1),2)+1)+23,"")</f>
        <v>46526</v>
      </c>
      <c r="U28" s="22">
        <f>IF(MONTH((DATE(2027,5,1)-WEEKDAY(DATE(2027,5,1),2)+1)+24)=5,(DATE(2027,5,1)-WEEKDAY(DATE(2027,5,1),2)+1)+24,"")</f>
        <v>46527</v>
      </c>
      <c r="V28" s="22">
        <f>IF(MONTH((DATE(2027,5,1)-WEEKDAY(DATE(2027,5,1),2)+1)+25)=5,(DATE(2027,5,1)-WEEKDAY(DATE(2027,5,1),2)+1)+25,"")</f>
        <v>46528</v>
      </c>
      <c r="W28" s="22">
        <f>IF(MONTH((DATE(2027,5,1)-WEEKDAY(DATE(2027,5,1),2)+1)+26)=5,(DATE(2027,5,1)-WEEKDAY(DATE(2027,5,1),2)+1)+26,"")</f>
        <v>46529</v>
      </c>
      <c r="X28" s="22">
        <f>IF(MONTH((DATE(2027,5,1)-WEEKDAY(DATE(2027,5,1),2)+1)+27)=5,(DATE(2027,5,1)-WEEKDAY(DATE(2027,5,1),2)+1)+27,"")</f>
        <v>46530</v>
      </c>
    </row>
    <row r="29" spans="2:24" x14ac:dyDescent="0.2">
      <c r="B29" s="22">
        <f>IF(MONTH((DATE(2027,3,1)-WEEKDAY(DATE(2027,3,1),2)+1)+28)=3,(DATE(2027,3,1)-WEEKDAY(DATE(2027,3,1),2)+1)+28,"")</f>
        <v>46475</v>
      </c>
      <c r="C29" s="22">
        <f>IF(MONTH((DATE(2027,3,1)-WEEKDAY(DATE(2027,3,1),2)+1)+29)=3,(DATE(2027,3,1)-WEEKDAY(DATE(2027,3,1),2)+1)+29,"")</f>
        <v>46476</v>
      </c>
      <c r="D29" s="22">
        <f>IF(MONTH((DATE(2027,3,1)-WEEKDAY(DATE(2027,3,1),2)+1)+30)=3,(DATE(2027,3,1)-WEEKDAY(DATE(2027,3,1),2)+1)+30,"")</f>
        <v>46477</v>
      </c>
      <c r="E29" s="22" t="str">
        <f>IF(MONTH((DATE(2027,3,1)-WEEKDAY(DATE(2027,3,1),2)+1)+31)=3,(DATE(2027,3,1)-WEEKDAY(DATE(2027,3,1),2)+1)+31,"")</f>
        <v/>
      </c>
      <c r="F29" s="22" t="str">
        <f>IF(MONTH((DATE(2027,3,1)-WEEKDAY(DATE(2027,3,1),2)+1)+32)=3,(DATE(2027,3,1)-WEEKDAY(DATE(2027,3,1),2)+1)+32,"")</f>
        <v/>
      </c>
      <c r="G29" s="22" t="str">
        <f>IF(MONTH((DATE(2027,3,1)-WEEKDAY(DATE(2027,3,1),2)+1)+33)=3,(DATE(2027,3,1)-WEEKDAY(DATE(2027,3,1),2)+1)+33,"")</f>
        <v/>
      </c>
      <c r="H29" s="22" t="str">
        <f>IF(MONTH((DATE(2027,3,1)-WEEKDAY(DATE(2027,3,1),2)+1)+34)=3,(DATE(2027,3,1)-WEEKDAY(DATE(2027,3,1),2)+1)+34,"")</f>
        <v/>
      </c>
      <c r="J29" s="22">
        <f>IF(MONTH((DATE(2027,4,1)-WEEKDAY(DATE(2027,4,1),2)+1)+28)=4,(DATE(2027,4,1)-WEEKDAY(DATE(2027,4,1),2)+1)+28,"")</f>
        <v>46503</v>
      </c>
      <c r="K29" s="22">
        <f>IF(MONTH((DATE(2027,4,1)-WEEKDAY(DATE(2027,4,1),2)+1)+29)=4,(DATE(2027,4,1)-WEEKDAY(DATE(2027,4,1),2)+1)+29,"")</f>
        <v>46504</v>
      </c>
      <c r="L29" s="22">
        <f>IF(MONTH((DATE(2027,4,1)-WEEKDAY(DATE(2027,4,1),2)+1)+30)=4,(DATE(2027,4,1)-WEEKDAY(DATE(2027,4,1),2)+1)+30,"")</f>
        <v>46505</v>
      </c>
      <c r="M29" s="22">
        <f>IF(MONTH((DATE(2027,4,1)-WEEKDAY(DATE(2027,4,1),2)+1)+31)=4,(DATE(2027,4,1)-WEEKDAY(DATE(2027,4,1),2)+1)+31,"")</f>
        <v>46506</v>
      </c>
      <c r="N29" s="22">
        <f>IF(MONTH((DATE(2027,4,1)-WEEKDAY(DATE(2027,4,1),2)+1)+32)=4,(DATE(2027,4,1)-WEEKDAY(DATE(2027,4,1),2)+1)+32,"")</f>
        <v>46507</v>
      </c>
      <c r="O29" s="22" t="str">
        <f>IF(MONTH((DATE(2027,4,1)-WEEKDAY(DATE(2027,4,1),2)+1)+33)=4,(DATE(2027,4,1)-WEEKDAY(DATE(2027,4,1),2)+1)+33,"")</f>
        <v/>
      </c>
      <c r="P29" s="22" t="str">
        <f>IF(MONTH((DATE(2027,4,1)-WEEKDAY(DATE(2027,4,1),2)+1)+34)=4,(DATE(2027,4,1)-WEEKDAY(DATE(2027,4,1),2)+1)+34,"")</f>
        <v/>
      </c>
      <c r="R29" s="22">
        <f>IF(MONTH((DATE(2027,5,1)-WEEKDAY(DATE(2027,5,1),2)+1)+28)=5,(DATE(2027,5,1)-WEEKDAY(DATE(2027,5,1),2)+1)+28,"")</f>
        <v>46531</v>
      </c>
      <c r="S29" s="22">
        <f>IF(MONTH((DATE(2027,5,1)-WEEKDAY(DATE(2027,5,1),2)+1)+29)=5,(DATE(2027,5,1)-WEEKDAY(DATE(2027,5,1),2)+1)+29,"")</f>
        <v>46532</v>
      </c>
      <c r="T29" s="22">
        <f>IF(MONTH((DATE(2027,5,1)-WEEKDAY(DATE(2027,5,1),2)+1)+30)=5,(DATE(2027,5,1)-WEEKDAY(DATE(2027,5,1),2)+1)+30,"")</f>
        <v>46533</v>
      </c>
      <c r="U29" s="22">
        <f>IF(MONTH((DATE(2027,5,1)-WEEKDAY(DATE(2027,5,1),2)+1)+31)=5,(DATE(2027,5,1)-WEEKDAY(DATE(2027,5,1),2)+1)+31,"")</f>
        <v>46534</v>
      </c>
      <c r="V29" s="22">
        <f>IF(MONTH((DATE(2027,5,1)-WEEKDAY(DATE(2027,5,1),2)+1)+32)=5,(DATE(2027,5,1)-WEEKDAY(DATE(2027,5,1),2)+1)+32,"")</f>
        <v>46535</v>
      </c>
      <c r="W29" s="22">
        <f>IF(MONTH((DATE(2027,5,1)-WEEKDAY(DATE(2027,5,1),2)+1)+33)=5,(DATE(2027,5,1)-WEEKDAY(DATE(2027,5,1),2)+1)+33,"")</f>
        <v>46536</v>
      </c>
      <c r="X29" s="22">
        <f>IF(MONTH((DATE(2027,5,1)-WEEKDAY(DATE(2027,5,1),2)+1)+34)=5,(DATE(2027,5,1)-WEEKDAY(DATE(2027,5,1),2)+1)+34,"")</f>
        <v>46537</v>
      </c>
    </row>
    <row r="30" spans="2:24" x14ac:dyDescent="0.2">
      <c r="B30" s="22" t="str">
        <f>IF(MONTH((DATE(2027,3,1)-WEEKDAY(DATE(2027,3,1),2)+1)+35)=3,(DATE(2027,3,1)-WEEKDAY(DATE(2027,3,1),2)+1)+35,"")</f>
        <v/>
      </c>
      <c r="C30" s="22" t="str">
        <f>IF(MONTH((DATE(2027,3,1)-WEEKDAY(DATE(2027,3,1),2)+1)+36)=3,(DATE(2027,3,1)-WEEKDAY(DATE(2027,3,1),2)+1)+36,"")</f>
        <v/>
      </c>
      <c r="D30" s="22" t="str">
        <f>IF(MONTH((DATE(2027,3,1)-WEEKDAY(DATE(2027,3,1),2)+1)+37)=3,(DATE(2027,3,1)-WEEKDAY(DATE(2027,3,1),2)+1)+37,"")</f>
        <v/>
      </c>
      <c r="E30" s="22" t="str">
        <f>IF(MONTH((DATE(2027,3,1)-WEEKDAY(DATE(2027,3,1),2)+1)+38)=3,(DATE(2027,3,1)-WEEKDAY(DATE(2027,3,1),2)+1)+38,"")</f>
        <v/>
      </c>
      <c r="F30" s="22" t="str">
        <f>IF(MONTH((DATE(2027,3,1)-WEEKDAY(DATE(2027,3,1),2)+1)+39)=3,(DATE(2027,3,1)-WEEKDAY(DATE(2027,3,1),2)+1)+39,"")</f>
        <v/>
      </c>
      <c r="G30" s="22" t="str">
        <f>IF(MONTH((DATE(2027,3,1)-WEEKDAY(DATE(2027,3,1),2)+1)+40)=3,(DATE(2027,3,1)-WEEKDAY(DATE(2027,3,1),2)+1)+40,"")</f>
        <v/>
      </c>
      <c r="H30" s="22" t="str">
        <f>IF(MONTH((DATE(2027,3,1)-WEEKDAY(DATE(2027,3,1),2)+1)+41)=3,(DATE(2027,3,1)-WEEKDAY(DATE(2027,3,1),2)+1)+41,"")</f>
        <v/>
      </c>
      <c r="J30" s="22" t="str">
        <f>IF(MONTH((DATE(2027,4,1)-WEEKDAY(DATE(2027,4,1),2)+1)+35)=4,(DATE(2027,4,1)-WEEKDAY(DATE(2027,4,1),2)+1)+35,"")</f>
        <v/>
      </c>
      <c r="K30" s="22" t="str">
        <f>IF(MONTH((DATE(2027,4,1)-WEEKDAY(DATE(2027,4,1),2)+1)+36)=4,(DATE(2027,4,1)-WEEKDAY(DATE(2027,4,1),2)+1)+36,"")</f>
        <v/>
      </c>
      <c r="L30" s="22" t="str">
        <f>IF(MONTH((DATE(2027,4,1)-WEEKDAY(DATE(2027,4,1),2)+1)+37)=4,(DATE(2027,4,1)-WEEKDAY(DATE(2027,4,1),2)+1)+37,"")</f>
        <v/>
      </c>
      <c r="M30" s="22" t="str">
        <f>IF(MONTH((DATE(2027,4,1)-WEEKDAY(DATE(2027,4,1),2)+1)+38)=4,(DATE(2027,4,1)-WEEKDAY(DATE(2027,4,1),2)+1)+38,"")</f>
        <v/>
      </c>
      <c r="N30" s="22" t="str">
        <f>IF(MONTH((DATE(2027,4,1)-WEEKDAY(DATE(2027,4,1),2)+1)+39)=4,(DATE(2027,4,1)-WEEKDAY(DATE(2027,4,1),2)+1)+39,"")</f>
        <v/>
      </c>
      <c r="O30" s="22" t="str">
        <f>IF(MONTH((DATE(2027,4,1)-WEEKDAY(DATE(2027,4,1),2)+1)+40)=4,(DATE(2027,4,1)-WEEKDAY(DATE(2027,4,1),2)+1)+40,"")</f>
        <v/>
      </c>
      <c r="P30" s="22" t="str">
        <f>IF(MONTH((DATE(2027,4,1)-WEEKDAY(DATE(2027,4,1),2)+1)+41)=4,(DATE(2027,4,1)-WEEKDAY(DATE(2027,4,1),2)+1)+41,"")</f>
        <v/>
      </c>
      <c r="R30" s="22">
        <f>IF(MONTH((DATE(2027,5,1)-WEEKDAY(DATE(2027,5,1),2)+1)+35)=5,(DATE(2027,5,1)-WEEKDAY(DATE(2027,5,1),2)+1)+35,"")</f>
        <v>46538</v>
      </c>
      <c r="S30" s="22" t="str">
        <f>IF(MONTH((DATE(2027,5,1)-WEEKDAY(DATE(2027,5,1),2)+1)+36)=5,(DATE(2027,5,1)-WEEKDAY(DATE(2027,5,1),2)+1)+36,"")</f>
        <v/>
      </c>
      <c r="T30" s="22" t="str">
        <f>IF(MONTH((DATE(2027,5,1)-WEEKDAY(DATE(2027,5,1),2)+1)+37)=5,(DATE(2027,5,1)-WEEKDAY(DATE(2027,5,1),2)+1)+37,"")</f>
        <v/>
      </c>
      <c r="U30" s="22" t="str">
        <f>IF(MONTH((DATE(2027,5,1)-WEEKDAY(DATE(2027,5,1),2)+1)+38)=5,(DATE(2027,5,1)-WEEKDAY(DATE(2027,5,1),2)+1)+38,"")</f>
        <v/>
      </c>
      <c r="V30" s="22" t="str">
        <f>IF(MONTH((DATE(2027,5,1)-WEEKDAY(DATE(2027,5,1),2)+1)+39)=5,(DATE(2027,5,1)-WEEKDAY(DATE(2027,5,1),2)+1)+39,"")</f>
        <v/>
      </c>
      <c r="W30" s="22" t="str">
        <f>IF(MONTH((DATE(2027,5,1)-WEEKDAY(DATE(2027,5,1),2)+1)+40)=5,(DATE(2027,5,1)-WEEKDAY(DATE(2027,5,1),2)+1)+40,"")</f>
        <v/>
      </c>
      <c r="X30" s="22" t="str">
        <f>IF(MONTH((DATE(2027,5,1)-WEEKDAY(DATE(2027,5,1),2)+1)+41)=5,(DATE(2027,5,1)-WEEKDAY(DATE(2027,5,1),2)+1)+41,"")</f>
        <v/>
      </c>
    </row>
    <row r="32" spans="2:24" x14ac:dyDescent="0.2">
      <c r="B32" s="32" t="s">
        <v>90</v>
      </c>
      <c r="C32" s="33"/>
      <c r="D32" s="33"/>
      <c r="E32" s="33"/>
      <c r="F32" s="33"/>
      <c r="G32" s="33"/>
      <c r="H32" s="33"/>
      <c r="J32" s="32" t="s">
        <v>91</v>
      </c>
      <c r="K32" s="33"/>
      <c r="L32" s="33"/>
      <c r="M32" s="33"/>
      <c r="N32" s="33"/>
      <c r="O32" s="33"/>
      <c r="P32" s="33"/>
      <c r="R32" s="32" t="s">
        <v>92</v>
      </c>
      <c r="S32" s="33"/>
      <c r="T32" s="33"/>
      <c r="U32" s="33"/>
      <c r="V32" s="33"/>
      <c r="W32" s="33"/>
      <c r="X32" s="33"/>
    </row>
    <row r="33" spans="2:24" x14ac:dyDescent="0.2">
      <c r="B33" s="21" t="s">
        <v>75</v>
      </c>
      <c r="C33" s="21" t="s">
        <v>76</v>
      </c>
      <c r="D33" s="21" t="s">
        <v>77</v>
      </c>
      <c r="E33" s="21" t="s">
        <v>78</v>
      </c>
      <c r="F33" s="21" t="s">
        <v>79</v>
      </c>
      <c r="G33" s="21" t="s">
        <v>80</v>
      </c>
      <c r="H33" s="21" t="s">
        <v>81</v>
      </c>
      <c r="J33" s="21" t="s">
        <v>75</v>
      </c>
      <c r="K33" s="21" t="s">
        <v>76</v>
      </c>
      <c r="L33" s="21" t="s">
        <v>77</v>
      </c>
      <c r="M33" s="21" t="s">
        <v>78</v>
      </c>
      <c r="N33" s="21" t="s">
        <v>79</v>
      </c>
      <c r="O33" s="21" t="s">
        <v>80</v>
      </c>
      <c r="P33" s="21" t="s">
        <v>81</v>
      </c>
      <c r="R33" s="21" t="s">
        <v>75</v>
      </c>
      <c r="S33" s="21" t="s">
        <v>76</v>
      </c>
      <c r="T33" s="21" t="s">
        <v>77</v>
      </c>
      <c r="U33" s="21" t="s">
        <v>78</v>
      </c>
      <c r="V33" s="21" t="s">
        <v>79</v>
      </c>
      <c r="W33" s="21" t="s">
        <v>80</v>
      </c>
      <c r="X33" s="21" t="s">
        <v>81</v>
      </c>
    </row>
    <row r="34" spans="2:24" x14ac:dyDescent="0.2">
      <c r="B34" s="22" t="str">
        <f>IF(MONTH((DATE(2027,6,1)-WEEKDAY(DATE(2027,6,1),2)+1)+0)=6,(DATE(2027,6,1)-WEEKDAY(DATE(2027,6,1),2)+1)+0,"")</f>
        <v/>
      </c>
      <c r="C34" s="22">
        <f>IF(MONTH((DATE(2027,6,1)-WEEKDAY(DATE(2027,6,1),2)+1)+1)=6,(DATE(2027,6,1)-WEEKDAY(DATE(2027,6,1),2)+1)+1,"")</f>
        <v>46539</v>
      </c>
      <c r="D34" s="22">
        <f>IF(MONTH((DATE(2027,6,1)-WEEKDAY(DATE(2027,6,1),2)+1)+2)=6,(DATE(2027,6,1)-WEEKDAY(DATE(2027,6,1),2)+1)+2,"")</f>
        <v>46540</v>
      </c>
      <c r="E34" s="22">
        <f>IF(MONTH((DATE(2027,6,1)-WEEKDAY(DATE(2027,6,1),2)+1)+3)=6,(DATE(2027,6,1)-WEEKDAY(DATE(2027,6,1),2)+1)+3,"")</f>
        <v>46541</v>
      </c>
      <c r="F34" s="22">
        <f>IF(MONTH((DATE(2027,6,1)-WEEKDAY(DATE(2027,6,1),2)+1)+4)=6,(DATE(2027,6,1)-WEEKDAY(DATE(2027,6,1),2)+1)+4,"")</f>
        <v>46542</v>
      </c>
      <c r="G34" s="22">
        <f>IF(MONTH((DATE(2027,6,1)-WEEKDAY(DATE(2027,6,1),2)+1)+5)=6,(DATE(2027,6,1)-WEEKDAY(DATE(2027,6,1),2)+1)+5,"")</f>
        <v>46543</v>
      </c>
      <c r="H34" s="22">
        <f>IF(MONTH((DATE(2027,6,1)-WEEKDAY(DATE(2027,6,1),2)+1)+6)=6,(DATE(2027,6,1)-WEEKDAY(DATE(2027,6,1),2)+1)+6,"")</f>
        <v>46544</v>
      </c>
      <c r="J34" s="22" t="str">
        <f>IF(MONTH((DATE(2027,7,1)-WEEKDAY(DATE(2027,7,1),2)+1)+0)=7,(DATE(2027,7,1)-WEEKDAY(DATE(2027,7,1),2)+1)+0,"")</f>
        <v/>
      </c>
      <c r="K34" s="22" t="str">
        <f>IF(MONTH((DATE(2027,7,1)-WEEKDAY(DATE(2027,7,1),2)+1)+1)=7,(DATE(2027,7,1)-WEEKDAY(DATE(2027,7,1),2)+1)+1,"")</f>
        <v/>
      </c>
      <c r="L34" s="22" t="str">
        <f>IF(MONTH((DATE(2027,7,1)-WEEKDAY(DATE(2027,7,1),2)+1)+2)=7,(DATE(2027,7,1)-WEEKDAY(DATE(2027,7,1),2)+1)+2,"")</f>
        <v/>
      </c>
      <c r="M34" s="22">
        <f>IF(MONTH((DATE(2027,7,1)-WEEKDAY(DATE(2027,7,1),2)+1)+3)=7,(DATE(2027,7,1)-WEEKDAY(DATE(2027,7,1),2)+1)+3,"")</f>
        <v>46569</v>
      </c>
      <c r="N34" s="22">
        <f>IF(MONTH((DATE(2027,7,1)-WEEKDAY(DATE(2027,7,1),2)+1)+4)=7,(DATE(2027,7,1)-WEEKDAY(DATE(2027,7,1),2)+1)+4,"")</f>
        <v>46570</v>
      </c>
      <c r="O34" s="22">
        <f>IF(MONTH((DATE(2027,7,1)-WEEKDAY(DATE(2027,7,1),2)+1)+5)=7,(DATE(2027,7,1)-WEEKDAY(DATE(2027,7,1),2)+1)+5,"")</f>
        <v>46571</v>
      </c>
      <c r="P34" s="22">
        <f>IF(MONTH((DATE(2027,7,1)-WEEKDAY(DATE(2027,7,1),2)+1)+6)=7,(DATE(2027,7,1)-WEEKDAY(DATE(2027,7,1),2)+1)+6,"")</f>
        <v>46572</v>
      </c>
      <c r="R34" s="22" t="str">
        <f>IF(MONTH((DATE(2027,8,1)-WEEKDAY(DATE(2027,8,1),2)+1)+0)=8,(DATE(2027,8,1)-WEEKDAY(DATE(2027,8,1),2)+1)+0,"")</f>
        <v/>
      </c>
      <c r="S34" s="22" t="str">
        <f>IF(MONTH((DATE(2027,8,1)-WEEKDAY(DATE(2027,8,1),2)+1)+1)=8,(DATE(2027,8,1)-WEEKDAY(DATE(2027,8,1),2)+1)+1,"")</f>
        <v/>
      </c>
      <c r="T34" s="22" t="str">
        <f>IF(MONTH((DATE(2027,8,1)-WEEKDAY(DATE(2027,8,1),2)+1)+2)=8,(DATE(2027,8,1)-WEEKDAY(DATE(2027,8,1),2)+1)+2,"")</f>
        <v/>
      </c>
      <c r="U34" s="22" t="str">
        <f>IF(MONTH((DATE(2027,8,1)-WEEKDAY(DATE(2027,8,1),2)+1)+3)=8,(DATE(2027,8,1)-WEEKDAY(DATE(2027,8,1),2)+1)+3,"")</f>
        <v/>
      </c>
      <c r="V34" s="22" t="str">
        <f>IF(MONTH((DATE(2027,8,1)-WEEKDAY(DATE(2027,8,1),2)+1)+4)=8,(DATE(2027,8,1)-WEEKDAY(DATE(2027,8,1),2)+1)+4,"")</f>
        <v/>
      </c>
      <c r="W34" s="22" t="str">
        <f>IF(MONTH((DATE(2027,8,1)-WEEKDAY(DATE(2027,8,1),2)+1)+5)=8,(DATE(2027,8,1)-WEEKDAY(DATE(2027,8,1),2)+1)+5,"")</f>
        <v/>
      </c>
      <c r="X34" s="22">
        <f>IF(MONTH((DATE(2027,8,1)-WEEKDAY(DATE(2027,8,1),2)+1)+6)=8,(DATE(2027,8,1)-WEEKDAY(DATE(2027,8,1),2)+1)+6,"")</f>
        <v>46600</v>
      </c>
    </row>
    <row r="35" spans="2:24" x14ac:dyDescent="0.2">
      <c r="B35" s="22">
        <f>IF(MONTH((DATE(2027,6,1)-WEEKDAY(DATE(2027,6,1),2)+1)+7)=6,(DATE(2027,6,1)-WEEKDAY(DATE(2027,6,1),2)+1)+7,"")</f>
        <v>46545</v>
      </c>
      <c r="C35" s="22">
        <f>IF(MONTH((DATE(2027,6,1)-WEEKDAY(DATE(2027,6,1),2)+1)+8)=6,(DATE(2027,6,1)-WEEKDAY(DATE(2027,6,1),2)+1)+8,"")</f>
        <v>46546</v>
      </c>
      <c r="D35" s="22">
        <f>IF(MONTH((DATE(2027,6,1)-WEEKDAY(DATE(2027,6,1),2)+1)+9)=6,(DATE(2027,6,1)-WEEKDAY(DATE(2027,6,1),2)+1)+9,"")</f>
        <v>46547</v>
      </c>
      <c r="E35" s="22">
        <f>IF(MONTH((DATE(2027,6,1)-WEEKDAY(DATE(2027,6,1),2)+1)+10)=6,(DATE(2027,6,1)-WEEKDAY(DATE(2027,6,1),2)+1)+10,"")</f>
        <v>46548</v>
      </c>
      <c r="F35" s="22">
        <f>IF(MONTH((DATE(2027,6,1)-WEEKDAY(DATE(2027,6,1),2)+1)+11)=6,(DATE(2027,6,1)-WEEKDAY(DATE(2027,6,1),2)+1)+11,"")</f>
        <v>46549</v>
      </c>
      <c r="G35" s="22">
        <f>IF(MONTH((DATE(2027,6,1)-WEEKDAY(DATE(2027,6,1),2)+1)+12)=6,(DATE(2027,6,1)-WEEKDAY(DATE(2027,6,1),2)+1)+12,"")</f>
        <v>46550</v>
      </c>
      <c r="H35" s="22">
        <f>IF(MONTH((DATE(2027,6,1)-WEEKDAY(DATE(2027,6,1),2)+1)+13)=6,(DATE(2027,6,1)-WEEKDAY(DATE(2027,6,1),2)+1)+13,"")</f>
        <v>46551</v>
      </c>
      <c r="J35" s="22">
        <f>IF(MONTH((DATE(2027,7,1)-WEEKDAY(DATE(2027,7,1),2)+1)+7)=7,(DATE(2027,7,1)-WEEKDAY(DATE(2027,7,1),2)+1)+7,"")</f>
        <v>46573</v>
      </c>
      <c r="K35" s="22">
        <f>IF(MONTH((DATE(2027,7,1)-WEEKDAY(DATE(2027,7,1),2)+1)+8)=7,(DATE(2027,7,1)-WEEKDAY(DATE(2027,7,1),2)+1)+8,"")</f>
        <v>46574</v>
      </c>
      <c r="L35" s="22">
        <f>IF(MONTH((DATE(2027,7,1)-WEEKDAY(DATE(2027,7,1),2)+1)+9)=7,(DATE(2027,7,1)-WEEKDAY(DATE(2027,7,1),2)+1)+9,"")</f>
        <v>46575</v>
      </c>
      <c r="M35" s="22">
        <f>IF(MONTH((DATE(2027,7,1)-WEEKDAY(DATE(2027,7,1),2)+1)+10)=7,(DATE(2027,7,1)-WEEKDAY(DATE(2027,7,1),2)+1)+10,"")</f>
        <v>46576</v>
      </c>
      <c r="N35" s="22">
        <f>IF(MONTH((DATE(2027,7,1)-WEEKDAY(DATE(2027,7,1),2)+1)+11)=7,(DATE(2027,7,1)-WEEKDAY(DATE(2027,7,1),2)+1)+11,"")</f>
        <v>46577</v>
      </c>
      <c r="O35" s="22">
        <f>IF(MONTH((DATE(2027,7,1)-WEEKDAY(DATE(2027,7,1),2)+1)+12)=7,(DATE(2027,7,1)-WEEKDAY(DATE(2027,7,1),2)+1)+12,"")</f>
        <v>46578</v>
      </c>
      <c r="P35" s="22">
        <f>IF(MONTH((DATE(2027,7,1)-WEEKDAY(DATE(2027,7,1),2)+1)+13)=7,(DATE(2027,7,1)-WEEKDAY(DATE(2027,7,1),2)+1)+13,"")</f>
        <v>46579</v>
      </c>
      <c r="R35" s="22">
        <f>IF(MONTH((DATE(2027,8,1)-WEEKDAY(DATE(2027,8,1),2)+1)+7)=8,(DATE(2027,8,1)-WEEKDAY(DATE(2027,8,1),2)+1)+7,"")</f>
        <v>46601</v>
      </c>
      <c r="S35" s="22">
        <f>IF(MONTH((DATE(2027,8,1)-WEEKDAY(DATE(2027,8,1),2)+1)+8)=8,(DATE(2027,8,1)-WEEKDAY(DATE(2027,8,1),2)+1)+8,"")</f>
        <v>46602</v>
      </c>
      <c r="T35" s="22">
        <f>IF(MONTH((DATE(2027,8,1)-WEEKDAY(DATE(2027,8,1),2)+1)+9)=8,(DATE(2027,8,1)-WEEKDAY(DATE(2027,8,1),2)+1)+9,"")</f>
        <v>46603</v>
      </c>
      <c r="U35" s="22">
        <f>IF(MONTH((DATE(2027,8,1)-WEEKDAY(DATE(2027,8,1),2)+1)+10)=8,(DATE(2027,8,1)-WEEKDAY(DATE(2027,8,1),2)+1)+10,"")</f>
        <v>46604</v>
      </c>
      <c r="V35" s="22">
        <f>IF(MONTH((DATE(2027,8,1)-WEEKDAY(DATE(2027,8,1),2)+1)+11)=8,(DATE(2027,8,1)-WEEKDAY(DATE(2027,8,1),2)+1)+11,"")</f>
        <v>46605</v>
      </c>
      <c r="W35" s="22">
        <f>IF(MONTH((DATE(2027,8,1)-WEEKDAY(DATE(2027,8,1),2)+1)+12)=8,(DATE(2027,8,1)-WEEKDAY(DATE(2027,8,1),2)+1)+12,"")</f>
        <v>46606</v>
      </c>
      <c r="X35" s="22">
        <f>IF(MONTH((DATE(2027,8,1)-WEEKDAY(DATE(2027,8,1),2)+1)+13)=8,(DATE(2027,8,1)-WEEKDAY(DATE(2027,8,1),2)+1)+13,"")</f>
        <v>46607</v>
      </c>
    </row>
    <row r="36" spans="2:24" x14ac:dyDescent="0.2">
      <c r="B36" s="22">
        <f>IF(MONTH((DATE(2027,6,1)-WEEKDAY(DATE(2027,6,1),2)+1)+14)=6,(DATE(2027,6,1)-WEEKDAY(DATE(2027,6,1),2)+1)+14,"")</f>
        <v>46552</v>
      </c>
      <c r="C36" s="22">
        <f>IF(MONTH((DATE(2027,6,1)-WEEKDAY(DATE(2027,6,1),2)+1)+15)=6,(DATE(2027,6,1)-WEEKDAY(DATE(2027,6,1),2)+1)+15,"")</f>
        <v>46553</v>
      </c>
      <c r="D36" s="22">
        <f>IF(MONTH((DATE(2027,6,1)-WEEKDAY(DATE(2027,6,1),2)+1)+16)=6,(DATE(2027,6,1)-WEEKDAY(DATE(2027,6,1),2)+1)+16,"")</f>
        <v>46554</v>
      </c>
      <c r="E36" s="22">
        <f>IF(MONTH((DATE(2027,6,1)-WEEKDAY(DATE(2027,6,1),2)+1)+17)=6,(DATE(2027,6,1)-WEEKDAY(DATE(2027,6,1),2)+1)+17,"")</f>
        <v>46555</v>
      </c>
      <c r="F36" s="22">
        <f>IF(MONTH((DATE(2027,6,1)-WEEKDAY(DATE(2027,6,1),2)+1)+18)=6,(DATE(2027,6,1)-WEEKDAY(DATE(2027,6,1),2)+1)+18,"")</f>
        <v>46556</v>
      </c>
      <c r="G36" s="22">
        <f>IF(MONTH((DATE(2027,6,1)-WEEKDAY(DATE(2027,6,1),2)+1)+19)=6,(DATE(2027,6,1)-WEEKDAY(DATE(2027,6,1),2)+1)+19,"")</f>
        <v>46557</v>
      </c>
      <c r="H36" s="22">
        <f>IF(MONTH((DATE(2027,6,1)-WEEKDAY(DATE(2027,6,1),2)+1)+20)=6,(DATE(2027,6,1)-WEEKDAY(DATE(2027,6,1),2)+1)+20,"")</f>
        <v>46558</v>
      </c>
      <c r="J36" s="22">
        <f>IF(MONTH((DATE(2027,7,1)-WEEKDAY(DATE(2027,7,1),2)+1)+14)=7,(DATE(2027,7,1)-WEEKDAY(DATE(2027,7,1),2)+1)+14,"")</f>
        <v>46580</v>
      </c>
      <c r="K36" s="22">
        <f>IF(MONTH((DATE(2027,7,1)-WEEKDAY(DATE(2027,7,1),2)+1)+15)=7,(DATE(2027,7,1)-WEEKDAY(DATE(2027,7,1),2)+1)+15,"")</f>
        <v>46581</v>
      </c>
      <c r="L36" s="22">
        <f>IF(MONTH((DATE(2027,7,1)-WEEKDAY(DATE(2027,7,1),2)+1)+16)=7,(DATE(2027,7,1)-WEEKDAY(DATE(2027,7,1),2)+1)+16,"")</f>
        <v>46582</v>
      </c>
      <c r="M36" s="22">
        <f>IF(MONTH((DATE(2027,7,1)-WEEKDAY(DATE(2027,7,1),2)+1)+17)=7,(DATE(2027,7,1)-WEEKDAY(DATE(2027,7,1),2)+1)+17,"")</f>
        <v>46583</v>
      </c>
      <c r="N36" s="22">
        <f>IF(MONTH((DATE(2027,7,1)-WEEKDAY(DATE(2027,7,1),2)+1)+18)=7,(DATE(2027,7,1)-WEEKDAY(DATE(2027,7,1),2)+1)+18,"")</f>
        <v>46584</v>
      </c>
      <c r="O36" s="22">
        <f>IF(MONTH((DATE(2027,7,1)-WEEKDAY(DATE(2027,7,1),2)+1)+19)=7,(DATE(2027,7,1)-WEEKDAY(DATE(2027,7,1),2)+1)+19,"")</f>
        <v>46585</v>
      </c>
      <c r="P36" s="22">
        <f>IF(MONTH((DATE(2027,7,1)-WEEKDAY(DATE(2027,7,1),2)+1)+20)=7,(DATE(2027,7,1)-WEEKDAY(DATE(2027,7,1),2)+1)+20,"")</f>
        <v>46586</v>
      </c>
      <c r="R36" s="22">
        <f>IF(MONTH((DATE(2027,8,1)-WEEKDAY(DATE(2027,8,1),2)+1)+14)=8,(DATE(2027,8,1)-WEEKDAY(DATE(2027,8,1),2)+1)+14,"")</f>
        <v>46608</v>
      </c>
      <c r="S36" s="22">
        <f>IF(MONTH((DATE(2027,8,1)-WEEKDAY(DATE(2027,8,1),2)+1)+15)=8,(DATE(2027,8,1)-WEEKDAY(DATE(2027,8,1),2)+1)+15,"")</f>
        <v>46609</v>
      </c>
      <c r="T36" s="22">
        <f>IF(MONTH((DATE(2027,8,1)-WEEKDAY(DATE(2027,8,1),2)+1)+16)=8,(DATE(2027,8,1)-WEEKDAY(DATE(2027,8,1),2)+1)+16,"")</f>
        <v>46610</v>
      </c>
      <c r="U36" s="22">
        <f>IF(MONTH((DATE(2027,8,1)-WEEKDAY(DATE(2027,8,1),2)+1)+17)=8,(DATE(2027,8,1)-WEEKDAY(DATE(2027,8,1),2)+1)+17,"")</f>
        <v>46611</v>
      </c>
      <c r="V36" s="22">
        <f>IF(MONTH((DATE(2027,8,1)-WEEKDAY(DATE(2027,8,1),2)+1)+18)=8,(DATE(2027,8,1)-WEEKDAY(DATE(2027,8,1),2)+1)+18,"")</f>
        <v>46612</v>
      </c>
      <c r="W36" s="22">
        <f>IF(MONTH((DATE(2027,8,1)-WEEKDAY(DATE(2027,8,1),2)+1)+19)=8,(DATE(2027,8,1)-WEEKDAY(DATE(2027,8,1),2)+1)+19,"")</f>
        <v>46613</v>
      </c>
      <c r="X36" s="22">
        <f>IF(MONTH((DATE(2027,8,1)-WEEKDAY(DATE(2027,8,1),2)+1)+20)=8,(DATE(2027,8,1)-WEEKDAY(DATE(2027,8,1),2)+1)+20,"")</f>
        <v>46614</v>
      </c>
    </row>
    <row r="37" spans="2:24" x14ac:dyDescent="0.2">
      <c r="B37" s="22">
        <f>IF(MONTH((DATE(2027,6,1)-WEEKDAY(DATE(2027,6,1),2)+1)+21)=6,(DATE(2027,6,1)-WEEKDAY(DATE(2027,6,1),2)+1)+21,"")</f>
        <v>46559</v>
      </c>
      <c r="C37" s="22">
        <f>IF(MONTH((DATE(2027,6,1)-WEEKDAY(DATE(2027,6,1),2)+1)+22)=6,(DATE(2027,6,1)-WEEKDAY(DATE(2027,6,1),2)+1)+22,"")</f>
        <v>46560</v>
      </c>
      <c r="D37" s="22">
        <f>IF(MONTH((DATE(2027,6,1)-WEEKDAY(DATE(2027,6,1),2)+1)+23)=6,(DATE(2027,6,1)-WEEKDAY(DATE(2027,6,1),2)+1)+23,"")</f>
        <v>46561</v>
      </c>
      <c r="E37" s="22">
        <f>IF(MONTH((DATE(2027,6,1)-WEEKDAY(DATE(2027,6,1),2)+1)+24)=6,(DATE(2027,6,1)-WEEKDAY(DATE(2027,6,1),2)+1)+24,"")</f>
        <v>46562</v>
      </c>
      <c r="F37" s="22">
        <f>IF(MONTH((DATE(2027,6,1)-WEEKDAY(DATE(2027,6,1),2)+1)+25)=6,(DATE(2027,6,1)-WEEKDAY(DATE(2027,6,1),2)+1)+25,"")</f>
        <v>46563</v>
      </c>
      <c r="G37" s="22">
        <f>IF(MONTH((DATE(2027,6,1)-WEEKDAY(DATE(2027,6,1),2)+1)+26)=6,(DATE(2027,6,1)-WEEKDAY(DATE(2027,6,1),2)+1)+26,"")</f>
        <v>46564</v>
      </c>
      <c r="H37" s="22">
        <f>IF(MONTH((DATE(2027,6,1)-WEEKDAY(DATE(2027,6,1),2)+1)+27)=6,(DATE(2027,6,1)-WEEKDAY(DATE(2027,6,1),2)+1)+27,"")</f>
        <v>46565</v>
      </c>
      <c r="J37" s="22">
        <f>IF(MONTH((DATE(2027,7,1)-WEEKDAY(DATE(2027,7,1),2)+1)+21)=7,(DATE(2027,7,1)-WEEKDAY(DATE(2027,7,1),2)+1)+21,"")</f>
        <v>46587</v>
      </c>
      <c r="K37" s="22">
        <f>IF(MONTH((DATE(2027,7,1)-WEEKDAY(DATE(2027,7,1),2)+1)+22)=7,(DATE(2027,7,1)-WEEKDAY(DATE(2027,7,1),2)+1)+22,"")</f>
        <v>46588</v>
      </c>
      <c r="L37" s="22">
        <f>IF(MONTH((DATE(2027,7,1)-WEEKDAY(DATE(2027,7,1),2)+1)+23)=7,(DATE(2027,7,1)-WEEKDAY(DATE(2027,7,1),2)+1)+23,"")</f>
        <v>46589</v>
      </c>
      <c r="M37" s="22">
        <f>IF(MONTH((DATE(2027,7,1)-WEEKDAY(DATE(2027,7,1),2)+1)+24)=7,(DATE(2027,7,1)-WEEKDAY(DATE(2027,7,1),2)+1)+24,"")</f>
        <v>46590</v>
      </c>
      <c r="N37" s="22">
        <f>IF(MONTH((DATE(2027,7,1)-WEEKDAY(DATE(2027,7,1),2)+1)+25)=7,(DATE(2027,7,1)-WEEKDAY(DATE(2027,7,1),2)+1)+25,"")</f>
        <v>46591</v>
      </c>
      <c r="O37" s="22">
        <f>IF(MONTH((DATE(2027,7,1)-WEEKDAY(DATE(2027,7,1),2)+1)+26)=7,(DATE(2027,7,1)-WEEKDAY(DATE(2027,7,1),2)+1)+26,"")</f>
        <v>46592</v>
      </c>
      <c r="P37" s="22">
        <f>IF(MONTH((DATE(2027,7,1)-WEEKDAY(DATE(2027,7,1),2)+1)+27)=7,(DATE(2027,7,1)-WEEKDAY(DATE(2027,7,1),2)+1)+27,"")</f>
        <v>46593</v>
      </c>
      <c r="R37" s="22">
        <f>IF(MONTH((DATE(2027,8,1)-WEEKDAY(DATE(2027,8,1),2)+1)+21)=8,(DATE(2027,8,1)-WEEKDAY(DATE(2027,8,1),2)+1)+21,"")</f>
        <v>46615</v>
      </c>
      <c r="S37" s="22">
        <f>IF(MONTH((DATE(2027,8,1)-WEEKDAY(DATE(2027,8,1),2)+1)+22)=8,(DATE(2027,8,1)-WEEKDAY(DATE(2027,8,1),2)+1)+22,"")</f>
        <v>46616</v>
      </c>
      <c r="T37" s="22">
        <f>IF(MONTH((DATE(2027,8,1)-WEEKDAY(DATE(2027,8,1),2)+1)+23)=8,(DATE(2027,8,1)-WEEKDAY(DATE(2027,8,1),2)+1)+23,"")</f>
        <v>46617</v>
      </c>
      <c r="U37" s="22">
        <f>IF(MONTH((DATE(2027,8,1)-WEEKDAY(DATE(2027,8,1),2)+1)+24)=8,(DATE(2027,8,1)-WEEKDAY(DATE(2027,8,1),2)+1)+24,"")</f>
        <v>46618</v>
      </c>
      <c r="V37" s="22">
        <f>IF(MONTH((DATE(2027,8,1)-WEEKDAY(DATE(2027,8,1),2)+1)+25)=8,(DATE(2027,8,1)-WEEKDAY(DATE(2027,8,1),2)+1)+25,"")</f>
        <v>46619</v>
      </c>
      <c r="W37" s="22">
        <f>IF(MONTH((DATE(2027,8,1)-WEEKDAY(DATE(2027,8,1),2)+1)+26)=8,(DATE(2027,8,1)-WEEKDAY(DATE(2027,8,1),2)+1)+26,"")</f>
        <v>46620</v>
      </c>
      <c r="X37" s="22">
        <f>IF(MONTH((DATE(2027,8,1)-WEEKDAY(DATE(2027,8,1),2)+1)+27)=8,(DATE(2027,8,1)-WEEKDAY(DATE(2027,8,1),2)+1)+27,"")</f>
        <v>46621</v>
      </c>
    </row>
    <row r="38" spans="2:24" x14ac:dyDescent="0.2">
      <c r="B38" s="22">
        <f>IF(MONTH((DATE(2027,6,1)-WEEKDAY(DATE(2027,6,1),2)+1)+28)=6,(DATE(2027,6,1)-WEEKDAY(DATE(2027,6,1),2)+1)+28,"")</f>
        <v>46566</v>
      </c>
      <c r="C38" s="22">
        <f>IF(MONTH((DATE(2027,6,1)-WEEKDAY(DATE(2027,6,1),2)+1)+29)=6,(DATE(2027,6,1)-WEEKDAY(DATE(2027,6,1),2)+1)+29,"")</f>
        <v>46567</v>
      </c>
      <c r="D38" s="22">
        <f>IF(MONTH((DATE(2027,6,1)-WEEKDAY(DATE(2027,6,1),2)+1)+30)=6,(DATE(2027,6,1)-WEEKDAY(DATE(2027,6,1),2)+1)+30,"")</f>
        <v>46568</v>
      </c>
      <c r="E38" s="22" t="str">
        <f>IF(MONTH((DATE(2027,6,1)-WEEKDAY(DATE(2027,6,1),2)+1)+31)=6,(DATE(2027,6,1)-WEEKDAY(DATE(2027,6,1),2)+1)+31,"")</f>
        <v/>
      </c>
      <c r="F38" s="22" t="str">
        <f>IF(MONTH((DATE(2027,6,1)-WEEKDAY(DATE(2027,6,1),2)+1)+32)=6,(DATE(2027,6,1)-WEEKDAY(DATE(2027,6,1),2)+1)+32,"")</f>
        <v/>
      </c>
      <c r="G38" s="22" t="str">
        <f>IF(MONTH((DATE(2027,6,1)-WEEKDAY(DATE(2027,6,1),2)+1)+33)=6,(DATE(2027,6,1)-WEEKDAY(DATE(2027,6,1),2)+1)+33,"")</f>
        <v/>
      </c>
      <c r="H38" s="22" t="str">
        <f>IF(MONTH((DATE(2027,6,1)-WEEKDAY(DATE(2027,6,1),2)+1)+34)=6,(DATE(2027,6,1)-WEEKDAY(DATE(2027,6,1),2)+1)+34,"")</f>
        <v/>
      </c>
      <c r="J38" s="22">
        <f>IF(MONTH((DATE(2027,7,1)-WEEKDAY(DATE(2027,7,1),2)+1)+28)=7,(DATE(2027,7,1)-WEEKDAY(DATE(2027,7,1),2)+1)+28,"")</f>
        <v>46594</v>
      </c>
      <c r="K38" s="22">
        <f>IF(MONTH((DATE(2027,7,1)-WEEKDAY(DATE(2027,7,1),2)+1)+29)=7,(DATE(2027,7,1)-WEEKDAY(DATE(2027,7,1),2)+1)+29,"")</f>
        <v>46595</v>
      </c>
      <c r="L38" s="22">
        <f>IF(MONTH((DATE(2027,7,1)-WEEKDAY(DATE(2027,7,1),2)+1)+30)=7,(DATE(2027,7,1)-WEEKDAY(DATE(2027,7,1),2)+1)+30,"")</f>
        <v>46596</v>
      </c>
      <c r="M38" s="22">
        <f>IF(MONTH((DATE(2027,7,1)-WEEKDAY(DATE(2027,7,1),2)+1)+31)=7,(DATE(2027,7,1)-WEEKDAY(DATE(2027,7,1),2)+1)+31,"")</f>
        <v>46597</v>
      </c>
      <c r="N38" s="22">
        <f>IF(MONTH((DATE(2027,7,1)-WEEKDAY(DATE(2027,7,1),2)+1)+32)=7,(DATE(2027,7,1)-WEEKDAY(DATE(2027,7,1),2)+1)+32,"")</f>
        <v>46598</v>
      </c>
      <c r="O38" s="22">
        <f>IF(MONTH((DATE(2027,7,1)-WEEKDAY(DATE(2027,7,1),2)+1)+33)=7,(DATE(2027,7,1)-WEEKDAY(DATE(2027,7,1),2)+1)+33,"")</f>
        <v>46599</v>
      </c>
      <c r="P38" s="22" t="str">
        <f>IF(MONTH((DATE(2027,7,1)-WEEKDAY(DATE(2027,7,1),2)+1)+34)=7,(DATE(2027,7,1)-WEEKDAY(DATE(2027,7,1),2)+1)+34,"")</f>
        <v/>
      </c>
      <c r="R38" s="22">
        <f>IF(MONTH((DATE(2027,8,1)-WEEKDAY(DATE(2027,8,1),2)+1)+28)=8,(DATE(2027,8,1)-WEEKDAY(DATE(2027,8,1),2)+1)+28,"")</f>
        <v>46622</v>
      </c>
      <c r="S38" s="22">
        <f>IF(MONTH((DATE(2027,8,1)-WEEKDAY(DATE(2027,8,1),2)+1)+29)=8,(DATE(2027,8,1)-WEEKDAY(DATE(2027,8,1),2)+1)+29,"")</f>
        <v>46623</v>
      </c>
      <c r="T38" s="22">
        <f>IF(MONTH((DATE(2027,8,1)-WEEKDAY(DATE(2027,8,1),2)+1)+30)=8,(DATE(2027,8,1)-WEEKDAY(DATE(2027,8,1),2)+1)+30,"")</f>
        <v>46624</v>
      </c>
      <c r="U38" s="22">
        <f>IF(MONTH((DATE(2027,8,1)-WEEKDAY(DATE(2027,8,1),2)+1)+31)=8,(DATE(2027,8,1)-WEEKDAY(DATE(2027,8,1),2)+1)+31,"")</f>
        <v>46625</v>
      </c>
      <c r="V38" s="22">
        <f>IF(MONTH((DATE(2027,8,1)-WEEKDAY(DATE(2027,8,1),2)+1)+32)=8,(DATE(2027,8,1)-WEEKDAY(DATE(2027,8,1),2)+1)+32,"")</f>
        <v>46626</v>
      </c>
      <c r="W38" s="22">
        <f>IF(MONTH((DATE(2027,8,1)-WEEKDAY(DATE(2027,8,1),2)+1)+33)=8,(DATE(2027,8,1)-WEEKDAY(DATE(2027,8,1),2)+1)+33,"")</f>
        <v>46627</v>
      </c>
      <c r="X38" s="22">
        <f>IF(MONTH((DATE(2027,8,1)-WEEKDAY(DATE(2027,8,1),2)+1)+34)=8,(DATE(2027,8,1)-WEEKDAY(DATE(2027,8,1),2)+1)+34,"")</f>
        <v>46628</v>
      </c>
    </row>
    <row r="39" spans="2:24" x14ac:dyDescent="0.2">
      <c r="B39" s="22" t="str">
        <f>IF(MONTH((DATE(2027,6,1)-WEEKDAY(DATE(2027,6,1),2)+1)+35)=6,(DATE(2027,6,1)-WEEKDAY(DATE(2027,6,1),2)+1)+35,"")</f>
        <v/>
      </c>
      <c r="C39" s="22" t="str">
        <f>IF(MONTH((DATE(2027,6,1)-WEEKDAY(DATE(2027,6,1),2)+1)+36)=6,(DATE(2027,6,1)-WEEKDAY(DATE(2027,6,1),2)+1)+36,"")</f>
        <v/>
      </c>
      <c r="D39" s="22" t="str">
        <f>IF(MONTH((DATE(2027,6,1)-WEEKDAY(DATE(2027,6,1),2)+1)+37)=6,(DATE(2027,6,1)-WEEKDAY(DATE(2027,6,1),2)+1)+37,"")</f>
        <v/>
      </c>
      <c r="E39" s="22" t="str">
        <f>IF(MONTH((DATE(2027,6,1)-WEEKDAY(DATE(2027,6,1),2)+1)+38)=6,(DATE(2027,6,1)-WEEKDAY(DATE(2027,6,1),2)+1)+38,"")</f>
        <v/>
      </c>
      <c r="F39" s="22" t="str">
        <f>IF(MONTH((DATE(2027,6,1)-WEEKDAY(DATE(2027,6,1),2)+1)+39)=6,(DATE(2027,6,1)-WEEKDAY(DATE(2027,6,1),2)+1)+39,"")</f>
        <v/>
      </c>
      <c r="G39" s="22" t="str">
        <f>IF(MONTH((DATE(2027,6,1)-WEEKDAY(DATE(2027,6,1),2)+1)+40)=6,(DATE(2027,6,1)-WEEKDAY(DATE(2027,6,1),2)+1)+40,"")</f>
        <v/>
      </c>
      <c r="H39" s="22" t="str">
        <f>IF(MONTH((DATE(2027,6,1)-WEEKDAY(DATE(2027,6,1),2)+1)+41)=6,(DATE(2027,6,1)-WEEKDAY(DATE(2027,6,1),2)+1)+41,"")</f>
        <v/>
      </c>
      <c r="J39" s="22" t="str">
        <f>IF(MONTH((DATE(2027,7,1)-WEEKDAY(DATE(2027,7,1),2)+1)+35)=7,(DATE(2027,7,1)-WEEKDAY(DATE(2027,7,1),2)+1)+35,"")</f>
        <v/>
      </c>
      <c r="K39" s="22" t="str">
        <f>IF(MONTH((DATE(2027,7,1)-WEEKDAY(DATE(2027,7,1),2)+1)+36)=7,(DATE(2027,7,1)-WEEKDAY(DATE(2027,7,1),2)+1)+36,"")</f>
        <v/>
      </c>
      <c r="L39" s="22" t="str">
        <f>IF(MONTH((DATE(2027,7,1)-WEEKDAY(DATE(2027,7,1),2)+1)+37)=7,(DATE(2027,7,1)-WEEKDAY(DATE(2027,7,1),2)+1)+37,"")</f>
        <v/>
      </c>
      <c r="M39" s="22" t="str">
        <f>IF(MONTH((DATE(2027,7,1)-WEEKDAY(DATE(2027,7,1),2)+1)+38)=7,(DATE(2027,7,1)-WEEKDAY(DATE(2027,7,1),2)+1)+38,"")</f>
        <v/>
      </c>
      <c r="N39" s="22" t="str">
        <f>IF(MONTH((DATE(2027,7,1)-WEEKDAY(DATE(2027,7,1),2)+1)+39)=7,(DATE(2027,7,1)-WEEKDAY(DATE(2027,7,1),2)+1)+39,"")</f>
        <v/>
      </c>
      <c r="O39" s="22" t="str">
        <f>IF(MONTH((DATE(2027,7,1)-WEEKDAY(DATE(2027,7,1),2)+1)+40)=7,(DATE(2027,7,1)-WEEKDAY(DATE(2027,7,1),2)+1)+40,"")</f>
        <v/>
      </c>
      <c r="P39" s="22" t="str">
        <f>IF(MONTH((DATE(2027,7,1)-WEEKDAY(DATE(2027,7,1),2)+1)+41)=7,(DATE(2027,7,1)-WEEKDAY(DATE(2027,7,1),2)+1)+41,"")</f>
        <v/>
      </c>
      <c r="R39" s="22">
        <f>IF(MONTH((DATE(2027,8,1)-WEEKDAY(DATE(2027,8,1),2)+1)+35)=8,(DATE(2027,8,1)-WEEKDAY(DATE(2027,8,1),2)+1)+35,"")</f>
        <v>46629</v>
      </c>
      <c r="S39" s="22">
        <f>IF(MONTH((DATE(2027,8,1)-WEEKDAY(DATE(2027,8,1),2)+1)+36)=8,(DATE(2027,8,1)-WEEKDAY(DATE(2027,8,1),2)+1)+36,"")</f>
        <v>46630</v>
      </c>
      <c r="T39" s="22" t="str">
        <f>IF(MONTH((DATE(2027,8,1)-WEEKDAY(DATE(2027,8,1),2)+1)+37)=8,(DATE(2027,8,1)-WEEKDAY(DATE(2027,8,1),2)+1)+37,"")</f>
        <v/>
      </c>
      <c r="U39" s="22" t="str">
        <f>IF(MONTH((DATE(2027,8,1)-WEEKDAY(DATE(2027,8,1),2)+1)+38)=8,(DATE(2027,8,1)-WEEKDAY(DATE(2027,8,1),2)+1)+38,"")</f>
        <v/>
      </c>
      <c r="V39" s="22" t="str">
        <f>IF(MONTH((DATE(2027,8,1)-WEEKDAY(DATE(2027,8,1),2)+1)+39)=8,(DATE(2027,8,1)-WEEKDAY(DATE(2027,8,1),2)+1)+39,"")</f>
        <v/>
      </c>
      <c r="W39" s="22" t="str">
        <f>IF(MONTH((DATE(2027,8,1)-WEEKDAY(DATE(2027,8,1),2)+1)+40)=8,(DATE(2027,8,1)-WEEKDAY(DATE(2027,8,1),2)+1)+40,"")</f>
        <v/>
      </c>
      <c r="X39" s="22" t="str">
        <f>IF(MONTH((DATE(2027,8,1)-WEEKDAY(DATE(2027,8,1),2)+1)+41)=8,(DATE(2027,8,1)-WEEKDAY(DATE(2027,8,1),2)+1)+41,"")</f>
        <v/>
      </c>
    </row>
    <row r="1000" spans="702:702" ht="15" x14ac:dyDescent="0.25">
      <c r="ZZ1000"/>
    </row>
  </sheetData>
  <mergeCells count="12">
    <mergeCell ref="B5:H5"/>
    <mergeCell ref="J5:P5"/>
    <mergeCell ref="R5:X5"/>
    <mergeCell ref="B14:H14"/>
    <mergeCell ref="J14:P14"/>
    <mergeCell ref="R14:X14"/>
    <mergeCell ref="B23:H23"/>
    <mergeCell ref="J23:P23"/>
    <mergeCell ref="R23:X23"/>
    <mergeCell ref="B32:H32"/>
    <mergeCell ref="J32:P32"/>
    <mergeCell ref="R32:X32"/>
  </mergeCells>
  <conditionalFormatting sqref="B7:H12">
    <cfRule type="expression" dxfId="50" priority="1" stopIfTrue="1">
      <formula>AND(ISNUMBER(B7),COUNTIF(Libere,B7)&gt;0)</formula>
    </cfRule>
    <cfRule type="expression" dxfId="49" priority="2" stopIfTrue="1">
      <formula>AND(ISNUMBER(B7),WEEKDAY(B7,2)&gt;5)</formula>
    </cfRule>
    <cfRule type="expression" dxfId="48" priority="3" stopIfTrue="1">
      <formula>AND(ISNUMBER(B7),SUMPRODUCT((VacTip="Vacanță")*(B7&gt;=VacStart)*(B7&lt;=VacEnd))&gt;0)</formula>
    </cfRule>
    <cfRule type="expression" dxfId="47" priority="4" stopIfTrue="1">
      <formula>AND(ISNUMBER(B7),B7&lt;DATE(2026,9,7))</formula>
    </cfRule>
  </conditionalFormatting>
  <conditionalFormatting sqref="B16:H21">
    <cfRule type="expression" dxfId="46" priority="13" stopIfTrue="1">
      <formula>AND(ISNUMBER(B16),COUNTIF(Libere,B16)&gt;0)</formula>
    </cfRule>
    <cfRule type="expression" dxfId="45" priority="14" stopIfTrue="1">
      <formula>AND(ISNUMBER(B16),WEEKDAY(B16,2)&gt;5)</formula>
    </cfRule>
    <cfRule type="expression" dxfId="44" priority="15" stopIfTrue="1">
      <formula>AND(ISNUMBER(B16),SUMPRODUCT((VacTip="Vacanță")*(B16&gt;=VacStart)*(B16&lt;=VacEnd))&gt;0)</formula>
    </cfRule>
    <cfRule type="expression" dxfId="43" priority="16" stopIfTrue="1">
      <formula>AND(ISNUMBER(B16),B16&lt;DATE(2026,9,7))</formula>
    </cfRule>
  </conditionalFormatting>
  <conditionalFormatting sqref="B25:H30">
    <cfRule type="expression" dxfId="42" priority="28" stopIfTrue="1">
      <formula>AND(ISNUMBER(B25),B25&lt;DATE(2026,9,7))</formula>
    </cfRule>
    <cfRule type="expression" dxfId="41" priority="27" stopIfTrue="1">
      <formula>AND(ISNUMBER(B25),SUMPRODUCT((VacTip="Vacanță")*(B25&gt;=VacStart)*(B25&lt;=VacEnd))&gt;0)</formula>
    </cfRule>
    <cfRule type="expression" dxfId="40" priority="25" stopIfTrue="1">
      <formula>AND(ISNUMBER(B25),COUNTIF(Libere,B25)&gt;0)</formula>
    </cfRule>
    <cfRule type="expression" dxfId="39" priority="26" stopIfTrue="1">
      <formula>AND(ISNUMBER(B25),WEEKDAY(B25,2)&gt;5)</formula>
    </cfRule>
  </conditionalFormatting>
  <conditionalFormatting sqref="B34:H39">
    <cfRule type="expression" dxfId="38" priority="37" stopIfTrue="1">
      <formula>AND(ISNUMBER(B34),COUNTIF(Libere,B34)&gt;0)</formula>
    </cfRule>
    <cfRule type="expression" dxfId="37" priority="40" stopIfTrue="1">
      <formula>AND(ISNUMBER(B34),B34&lt;DATE(2026,9,7))</formula>
    </cfRule>
    <cfRule type="expression" dxfId="36" priority="39" stopIfTrue="1">
      <formula>AND(ISNUMBER(B34),SUMPRODUCT((VacTip="Vacanță")*(B34&gt;=VacStart)*(B34&lt;=VacEnd))&gt;0)</formula>
    </cfRule>
    <cfRule type="expression" dxfId="35" priority="38" stopIfTrue="1">
      <formula>AND(ISNUMBER(B34),WEEKDAY(B34,2)&gt;5)</formula>
    </cfRule>
  </conditionalFormatting>
  <conditionalFormatting sqref="J7:P12">
    <cfRule type="expression" dxfId="34" priority="5" stopIfTrue="1">
      <formula>AND(ISNUMBER(J7),COUNTIF(Libere,J7)&gt;0)</formula>
    </cfRule>
    <cfRule type="expression" dxfId="33" priority="6" stopIfTrue="1">
      <formula>AND(ISNUMBER(J7),WEEKDAY(J7,2)&gt;5)</formula>
    </cfRule>
    <cfRule type="expression" dxfId="32" priority="8" stopIfTrue="1">
      <formula>AND(ISNUMBER(J7),J7&lt;DATE(2026,9,7))</formula>
    </cfRule>
    <cfRule type="expression" dxfId="31" priority="7" stopIfTrue="1">
      <formula>AND(ISNUMBER(J7),SUMPRODUCT((VacTip="Vacanță")*(J7&gt;=VacStart)*(J7&lt;=VacEnd))&gt;0)</formula>
    </cfRule>
  </conditionalFormatting>
  <conditionalFormatting sqref="J16:P21">
    <cfRule type="expression" dxfId="30" priority="19" stopIfTrue="1">
      <formula>AND(ISNUMBER(J16),SUMPRODUCT((VacTip="Vacanță")*(J16&gt;=VacStart)*(J16&lt;=VacEnd))&gt;0)</formula>
    </cfRule>
    <cfRule type="expression" dxfId="29" priority="17" stopIfTrue="1">
      <formula>AND(ISNUMBER(J16),COUNTIF(Libere,J16)&gt;0)</formula>
    </cfRule>
    <cfRule type="expression" dxfId="28" priority="18" stopIfTrue="1">
      <formula>AND(ISNUMBER(J16),WEEKDAY(J16,2)&gt;5)</formula>
    </cfRule>
    <cfRule type="expression" dxfId="27" priority="20" stopIfTrue="1">
      <formula>AND(ISNUMBER(J16),J16&lt;DATE(2026,9,7))</formula>
    </cfRule>
  </conditionalFormatting>
  <conditionalFormatting sqref="J25:P30">
    <cfRule type="expression" dxfId="26" priority="29" stopIfTrue="1">
      <formula>AND(ISNUMBER(J25),COUNTIF(Libere,J25)&gt;0)</formula>
    </cfRule>
    <cfRule type="expression" dxfId="25" priority="30" stopIfTrue="1">
      <formula>AND(ISNUMBER(J25),WEEKDAY(J25,2)&gt;5)</formula>
    </cfRule>
    <cfRule type="expression" dxfId="24" priority="31" stopIfTrue="1">
      <formula>AND(ISNUMBER(J25),SUMPRODUCT((VacTip="Vacanță")*(J25&gt;=VacStart)*(J25&lt;=VacEnd))&gt;0)</formula>
    </cfRule>
    <cfRule type="expression" dxfId="23" priority="32" stopIfTrue="1">
      <formula>AND(ISNUMBER(J25),J25&lt;DATE(2026,9,7))</formula>
    </cfRule>
  </conditionalFormatting>
  <conditionalFormatting sqref="J34:P39">
    <cfRule type="expression" dxfId="22" priority="42" stopIfTrue="1">
      <formula>AND(ISNUMBER(J34),WEEKDAY(J34,2)&gt;5)</formula>
    </cfRule>
    <cfRule type="expression" dxfId="21" priority="41" stopIfTrue="1">
      <formula>AND(ISNUMBER(J34),COUNTIF(Libere,J34)&gt;0)</formula>
    </cfRule>
    <cfRule type="expression" dxfId="20" priority="43" stopIfTrue="1">
      <formula>AND(ISNUMBER(J34),SUMPRODUCT((VacTip="Vacanță")*(J34&gt;=VacStart)*(J34&lt;=VacEnd))&gt;0)</formula>
    </cfRule>
    <cfRule type="expression" dxfId="19" priority="44" stopIfTrue="1">
      <formula>AND(ISNUMBER(J34),J34&lt;DATE(2026,9,7))</formula>
    </cfRule>
  </conditionalFormatting>
  <conditionalFormatting sqref="R7:X12">
    <cfRule type="expression" dxfId="18" priority="9" stopIfTrue="1">
      <formula>AND(ISNUMBER(R7),COUNTIF(Libere,R7)&gt;0)</formula>
    </cfRule>
    <cfRule type="expression" dxfId="17" priority="12" stopIfTrue="1">
      <formula>AND(ISNUMBER(R7),R7&lt;DATE(2026,9,7))</formula>
    </cfRule>
    <cfRule type="expression" dxfId="16" priority="11" stopIfTrue="1">
      <formula>AND(ISNUMBER(R7),SUMPRODUCT((VacTip="Vacanță")*(R7&gt;=VacStart)*(R7&lt;=VacEnd))&gt;0)</formula>
    </cfRule>
    <cfRule type="expression" dxfId="15" priority="10" stopIfTrue="1">
      <formula>AND(ISNUMBER(R7),WEEKDAY(R7,2)&gt;5)</formula>
    </cfRule>
  </conditionalFormatting>
  <conditionalFormatting sqref="R16:X21">
    <cfRule type="expression" dxfId="14" priority="24" stopIfTrue="1">
      <formula>AND(ISNUMBER(R16),R16&lt;DATE(2026,9,7))</formula>
    </cfRule>
    <cfRule type="expression" dxfId="13" priority="23" stopIfTrue="1">
      <formula>AND(ISNUMBER(R16),SUMPRODUCT((VacTip="Vacanță")*(R16&gt;=VacStart)*(R16&lt;=VacEnd))&gt;0)</formula>
    </cfRule>
    <cfRule type="expression" dxfId="12" priority="22" stopIfTrue="1">
      <formula>AND(ISNUMBER(R16),WEEKDAY(R16,2)&gt;5)</formula>
    </cfRule>
    <cfRule type="expression" dxfId="11" priority="21" stopIfTrue="1">
      <formula>AND(ISNUMBER(R16),COUNTIF(Libere,R16)&gt;0)</formula>
    </cfRule>
  </conditionalFormatting>
  <conditionalFormatting sqref="R25:X30">
    <cfRule type="expression" dxfId="10" priority="33" stopIfTrue="1">
      <formula>AND(ISNUMBER(R25),COUNTIF(Libere,R25)&gt;0)</formula>
    </cfRule>
    <cfRule type="expression" dxfId="9" priority="34" stopIfTrue="1">
      <formula>AND(ISNUMBER(R25),WEEKDAY(R25,2)&gt;5)</formula>
    </cfRule>
    <cfRule type="expression" dxfId="8" priority="35" stopIfTrue="1">
      <formula>AND(ISNUMBER(R25),SUMPRODUCT((VacTip="Vacanță")*(R25&gt;=VacStart)*(R25&lt;=VacEnd))&gt;0)</formula>
    </cfRule>
    <cfRule type="expression" dxfId="7" priority="36" stopIfTrue="1">
      <formula>AND(ISNUMBER(R25),R25&lt;DATE(2026,9,7))</formula>
    </cfRule>
  </conditionalFormatting>
  <conditionalFormatting sqref="R34:X39">
    <cfRule type="expression" dxfId="6" priority="45" stopIfTrue="1">
      <formula>AND(ISNUMBER(R34),COUNTIF(Libere,R34)&gt;0)</formula>
    </cfRule>
    <cfRule type="expression" dxfId="5" priority="46" stopIfTrue="1">
      <formula>AND(ISNUMBER(R34),WEEKDAY(R34,2)&gt;5)</formula>
    </cfRule>
    <cfRule type="expression" dxfId="4" priority="47" stopIfTrue="1">
      <formula>AND(ISNUMBER(R34),SUMPRODUCT((VacTip="Vacanță")*(R34&gt;=VacStart)*(R34&lt;=VacEnd))&gt;0)</formula>
    </cfRule>
    <cfRule type="expression" dxfId="3" priority="48" stopIfTrue="1">
      <formula>AND(ISNUMBER(R34),R34&lt;DATE(2026,9,7))</formula>
    </cfRule>
  </conditionalFormatting>
  <printOptions horizontalCentered="1"/>
  <pageMargins left="0.7" right="0.7" top="0.75" bottom="0.75" header="0.3" footer="0.3"/>
  <pageSetup scale="89" orientation="portrait" r:id="rId1"/>
  <headerFooter>
    <oddFooter>&amp;Cmodelexcel.ro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36905-8637-4A91-8832-481AD97F8406}">
  <dimension ref="B1:ZZ1000"/>
  <sheetViews>
    <sheetView showGridLines="0" workbookViewId="0"/>
  </sheetViews>
  <sheetFormatPr baseColWidth="10" defaultRowHeight="12.75" x14ac:dyDescent="0.2"/>
  <cols>
    <col min="1" max="1" width="2.7109375" style="1" customWidth="1"/>
    <col min="2" max="2" width="22.7109375" style="1" customWidth="1"/>
    <col min="3" max="3" width="10.7109375" style="1" customWidth="1"/>
    <col min="4" max="6" width="12.7109375" style="1" customWidth="1"/>
    <col min="7" max="7" width="16.7109375" style="1" customWidth="1"/>
    <col min="8" max="8" width="44.7109375" style="1" customWidth="1"/>
    <col min="9" max="9" width="0" style="1" hidden="1" customWidth="1"/>
    <col min="10" max="16384" width="11.42578125" style="1"/>
  </cols>
  <sheetData>
    <row r="1" spans="2:9" ht="21" x14ac:dyDescent="0.35">
      <c r="B1" s="2" t="s">
        <v>40</v>
      </c>
    </row>
    <row r="2" spans="2:9" x14ac:dyDescent="0.2">
      <c r="B2" s="3" t="s">
        <v>41</v>
      </c>
    </row>
    <row r="3" spans="2:9" x14ac:dyDescent="0.2">
      <c r="B3" s="4" t="str">
        <f>"Județul: "&amp;Judet&amp;"   ·   vacanța din februarie: "&amp;OptFeb&amp;"   ·   "&amp;TipClasa</f>
        <v>Județul: București   ·   vacanța din februarie: 22–28 februarie 2027   ·   Clasele 0–VII, IX–XI (liceu teoretic)</v>
      </c>
    </row>
    <row r="5" spans="2:9" ht="44.1" customHeight="1" x14ac:dyDescent="0.2">
      <c r="B5" s="7" t="s">
        <v>42</v>
      </c>
      <c r="C5" s="7" t="s">
        <v>43</v>
      </c>
      <c r="D5" s="7" t="s">
        <v>44</v>
      </c>
      <c r="E5" s="7" t="s">
        <v>45</v>
      </c>
      <c r="F5" s="7" t="s">
        <v>46</v>
      </c>
      <c r="G5" s="7" t="s">
        <v>47</v>
      </c>
      <c r="H5" s="7" t="s">
        <v>48</v>
      </c>
    </row>
    <row r="6" spans="2:9" x14ac:dyDescent="0.2">
      <c r="B6" s="13" t="s">
        <v>49</v>
      </c>
      <c r="C6" s="13" t="s">
        <v>50</v>
      </c>
      <c r="D6" s="14">
        <f>DATE(2026,9,7)</f>
        <v>46272</v>
      </c>
      <c r="E6" s="14">
        <f>DATE(2026,10,23)</f>
        <v>46318</v>
      </c>
      <c r="F6" s="15">
        <f t="shared" ref="F6:F15" si="0">E6-D6+1</f>
        <v>47</v>
      </c>
      <c r="G6" s="15" t="str">
        <f t="shared" ref="G6:G15" si="1">IF(C6="Vacanță",NETWORKDAYS(D6,E6,Libere),"")</f>
        <v/>
      </c>
      <c r="H6" s="16" t="s">
        <v>51</v>
      </c>
      <c r="I6" s="1">
        <f t="shared" ref="I6:I15" si="2">IF(C6="Cursuri",NETWORKDAYS(D6,E6,Libere),0)</f>
        <v>34</v>
      </c>
    </row>
    <row r="7" spans="2:9" x14ac:dyDescent="0.2">
      <c r="B7" s="13" t="s">
        <v>52</v>
      </c>
      <c r="C7" s="13" t="s">
        <v>53</v>
      </c>
      <c r="D7" s="14">
        <f>DATE(2026,10,24)</f>
        <v>46319</v>
      </c>
      <c r="E7" s="14">
        <f>DATE(2026,11,1)</f>
        <v>46327</v>
      </c>
      <c r="F7" s="15">
        <f t="shared" si="0"/>
        <v>9</v>
      </c>
      <c r="G7" s="15">
        <f t="shared" si="1"/>
        <v>5</v>
      </c>
      <c r="H7" s="16"/>
      <c r="I7" s="1">
        <f t="shared" si="2"/>
        <v>0</v>
      </c>
    </row>
    <row r="8" spans="2:9" x14ac:dyDescent="0.2">
      <c r="B8" s="13" t="s">
        <v>54</v>
      </c>
      <c r="C8" s="13" t="s">
        <v>50</v>
      </c>
      <c r="D8" s="14">
        <f>DATE(2026,11,2)</f>
        <v>46328</v>
      </c>
      <c r="E8" s="14">
        <f>DATE(2026,12,22)</f>
        <v>46378</v>
      </c>
      <c r="F8" s="15">
        <f t="shared" si="0"/>
        <v>51</v>
      </c>
      <c r="G8" s="15" t="str">
        <f t="shared" si="1"/>
        <v/>
      </c>
      <c r="H8" s="16" t="s">
        <v>55</v>
      </c>
      <c r="I8" s="1">
        <f t="shared" si="2"/>
        <v>35</v>
      </c>
    </row>
    <row r="9" spans="2:9" x14ac:dyDescent="0.2">
      <c r="B9" s="13" t="s">
        <v>56</v>
      </c>
      <c r="C9" s="13" t="s">
        <v>53</v>
      </c>
      <c r="D9" s="14">
        <f>DATE(2026,12,23)</f>
        <v>46379</v>
      </c>
      <c r="E9" s="14">
        <f>DATE(2027,1,10)</f>
        <v>46397</v>
      </c>
      <c r="F9" s="15">
        <f t="shared" si="0"/>
        <v>19</v>
      </c>
      <c r="G9" s="15">
        <f t="shared" si="1"/>
        <v>9</v>
      </c>
      <c r="H9" s="16"/>
      <c r="I9" s="1">
        <f t="shared" si="2"/>
        <v>0</v>
      </c>
    </row>
    <row r="10" spans="2:9" x14ac:dyDescent="0.2">
      <c r="B10" s="13" t="s">
        <v>57</v>
      </c>
      <c r="C10" s="13" t="s">
        <v>50</v>
      </c>
      <c r="D10" s="14">
        <f>DATE(2027,1,11)</f>
        <v>46398</v>
      </c>
      <c r="E10" s="14">
        <f>FebUltCurs</f>
        <v>46437</v>
      </c>
      <c r="F10" s="15">
        <f t="shared" si="0"/>
        <v>40</v>
      </c>
      <c r="G10" s="15" t="str">
        <f t="shared" si="1"/>
        <v/>
      </c>
      <c r="H10" s="16"/>
      <c r="I10" s="1">
        <f t="shared" si="2"/>
        <v>30</v>
      </c>
    </row>
    <row r="11" spans="2:9" x14ac:dyDescent="0.2">
      <c r="B11" s="13" t="s">
        <v>58</v>
      </c>
      <c r="C11" s="13" t="s">
        <v>53</v>
      </c>
      <c r="D11" s="14">
        <f>FebVacStart</f>
        <v>46438</v>
      </c>
      <c r="E11" s="14">
        <f>FebVacEnd</f>
        <v>46446</v>
      </c>
      <c r="F11" s="15">
        <f t="shared" si="0"/>
        <v>9</v>
      </c>
      <c r="G11" s="15">
        <f t="shared" si="1"/>
        <v>5</v>
      </c>
      <c r="H11" s="16" t="s">
        <v>59</v>
      </c>
      <c r="I11" s="1">
        <f t="shared" si="2"/>
        <v>0</v>
      </c>
    </row>
    <row r="12" spans="2:9" x14ac:dyDescent="0.2">
      <c r="B12" s="13" t="s">
        <v>60</v>
      </c>
      <c r="C12" s="13" t="s">
        <v>50</v>
      </c>
      <c r="D12" s="14">
        <f>FebReluare</f>
        <v>46447</v>
      </c>
      <c r="E12" s="14">
        <f>DATE(2027,4,23)</f>
        <v>46500</v>
      </c>
      <c r="F12" s="15">
        <f t="shared" si="0"/>
        <v>54</v>
      </c>
      <c r="G12" s="15" t="str">
        <f t="shared" si="1"/>
        <v/>
      </c>
      <c r="H12" s="16"/>
      <c r="I12" s="1">
        <f t="shared" si="2"/>
        <v>40</v>
      </c>
    </row>
    <row r="13" spans="2:9" x14ac:dyDescent="0.2">
      <c r="B13" s="13" t="s">
        <v>61</v>
      </c>
      <c r="C13" s="13" t="s">
        <v>53</v>
      </c>
      <c r="D13" s="14">
        <f>DATE(2027,4,24)</f>
        <v>46501</v>
      </c>
      <c r="E13" s="14">
        <f>DATE(2027,5,4)</f>
        <v>46511</v>
      </c>
      <c r="F13" s="15">
        <f t="shared" si="0"/>
        <v>11</v>
      </c>
      <c r="G13" s="15">
        <f t="shared" si="1"/>
        <v>5</v>
      </c>
      <c r="H13" s="16" t="s">
        <v>62</v>
      </c>
      <c r="I13" s="1">
        <f t="shared" si="2"/>
        <v>0</v>
      </c>
    </row>
    <row r="14" spans="2:9" x14ac:dyDescent="0.2">
      <c r="B14" s="13" t="s">
        <v>63</v>
      </c>
      <c r="C14" s="13" t="s">
        <v>50</v>
      </c>
      <c r="D14" s="14">
        <f>DATE(2027,5,5)</f>
        <v>46512</v>
      </c>
      <c r="E14" s="14">
        <f>UltCurs</f>
        <v>46556</v>
      </c>
      <c r="F14" s="15">
        <f t="shared" si="0"/>
        <v>45</v>
      </c>
      <c r="G14" s="15" t="str">
        <f t="shared" si="1"/>
        <v/>
      </c>
      <c r="H14" s="16" t="s">
        <v>64</v>
      </c>
      <c r="I14" s="1">
        <f t="shared" si="2"/>
        <v>32</v>
      </c>
    </row>
    <row r="15" spans="2:9" x14ac:dyDescent="0.2">
      <c r="B15" s="13" t="s">
        <v>65</v>
      </c>
      <c r="C15" s="13" t="s">
        <v>53</v>
      </c>
      <c r="D15" s="14">
        <f>UltCurs+1</f>
        <v>46557</v>
      </c>
      <c r="E15" s="14">
        <f>DATE(2027,9,5)</f>
        <v>46635</v>
      </c>
      <c r="F15" s="15">
        <f t="shared" si="0"/>
        <v>79</v>
      </c>
      <c r="G15" s="15">
        <f t="shared" si="1"/>
        <v>54</v>
      </c>
      <c r="H15" s="16" t="s">
        <v>66</v>
      </c>
      <c r="I15" s="1">
        <f t="shared" si="2"/>
        <v>0</v>
      </c>
    </row>
    <row r="17" spans="2:8" x14ac:dyDescent="0.2">
      <c r="B17" s="17" t="s">
        <v>67</v>
      </c>
    </row>
    <row r="18" spans="2:8" ht="15.75" x14ac:dyDescent="0.25">
      <c r="B18" s="34" t="s">
        <v>68</v>
      </c>
      <c r="C18" s="34"/>
      <c r="D18" s="34"/>
      <c r="E18" s="34"/>
      <c r="F18" s="18">
        <f>SUM(I6:I15)</f>
        <v>171</v>
      </c>
    </row>
    <row r="19" spans="2:8" ht="15.75" x14ac:dyDescent="0.25">
      <c r="B19" s="34" t="s">
        <v>69</v>
      </c>
      <c r="C19" s="34"/>
      <c r="D19" s="34"/>
      <c r="E19" s="34"/>
      <c r="F19" s="18">
        <f>SUMIFS(G6:G14,C6:C14,"Vacanță")</f>
        <v>24</v>
      </c>
    </row>
    <row r="20" spans="2:8" ht="15.75" x14ac:dyDescent="0.25">
      <c r="B20" s="34" t="s">
        <v>70</v>
      </c>
      <c r="C20" s="34"/>
      <c r="D20" s="34"/>
      <c r="E20" s="34"/>
      <c r="F20" s="19">
        <f>G15</f>
        <v>54</v>
      </c>
    </row>
    <row r="22" spans="2:8" ht="30" customHeight="1" x14ac:dyDescent="0.2">
      <c r="B22" s="35" t="s">
        <v>71</v>
      </c>
      <c r="C22" s="36"/>
      <c r="D22" s="36"/>
      <c r="E22" s="36"/>
      <c r="F22" s="36"/>
      <c r="G22" s="36"/>
      <c r="H22" s="36"/>
    </row>
    <row r="1000" spans="702:702" ht="15" x14ac:dyDescent="0.25">
      <c r="ZZ1000"/>
    </row>
  </sheetData>
  <mergeCells count="4">
    <mergeCell ref="B18:E18"/>
    <mergeCell ref="B19:E19"/>
    <mergeCell ref="B20:E20"/>
    <mergeCell ref="B22:H22"/>
  </mergeCells>
  <conditionalFormatting sqref="B6:H15">
    <cfRule type="expression" dxfId="2" priority="1" stopIfTrue="1">
      <formula>$C6="Vacanță"</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F26DF-2C2C-4CE3-B28B-DD0A4BC82352}">
  <dimension ref="B1:L34"/>
  <sheetViews>
    <sheetView showGridLines="0" workbookViewId="0"/>
  </sheetViews>
  <sheetFormatPr baseColWidth="10" defaultRowHeight="12.75" x14ac:dyDescent="0.2"/>
  <cols>
    <col min="1" max="1" width="2.7109375" style="1" customWidth="1"/>
    <col min="2" max="2" width="18.7109375" style="1" customWidth="1"/>
    <col min="3" max="4" width="11.7109375" style="1" customWidth="1"/>
    <col min="5" max="6" width="13.7109375" style="1" customWidth="1"/>
    <col min="7" max="7" width="34.7109375" style="1" customWidth="1"/>
    <col min="8" max="8" width="3.7109375" style="1" customWidth="1"/>
    <col min="9" max="9" width="22.7109375" style="1" customWidth="1"/>
    <col min="10" max="10" width="11.7109375" style="1" customWidth="1"/>
    <col min="11" max="11" width="12.7109375" style="1" customWidth="1"/>
    <col min="12" max="12" width="11.7109375" style="1" customWidth="1"/>
    <col min="13" max="16384" width="11.42578125" style="1"/>
  </cols>
  <sheetData>
    <row r="1" spans="2:12" ht="21" x14ac:dyDescent="0.35">
      <c r="B1" s="2" t="s">
        <v>93</v>
      </c>
    </row>
    <row r="2" spans="2:12" x14ac:dyDescent="0.2">
      <c r="B2" s="3" t="s">
        <v>94</v>
      </c>
    </row>
    <row r="4" spans="2:12" ht="30" customHeight="1" x14ac:dyDescent="0.2">
      <c r="B4" s="7" t="s">
        <v>95</v>
      </c>
      <c r="C4" s="7" t="s">
        <v>44</v>
      </c>
      <c r="D4" s="7" t="s">
        <v>45</v>
      </c>
      <c r="E4" s="7" t="s">
        <v>96</v>
      </c>
      <c r="F4" s="7" t="s">
        <v>97</v>
      </c>
      <c r="G4" s="7" t="s">
        <v>48</v>
      </c>
      <c r="I4" s="7" t="s">
        <v>101</v>
      </c>
      <c r="J4" s="7" t="s">
        <v>102</v>
      </c>
      <c r="K4" s="7" t="s">
        <v>103</v>
      </c>
      <c r="L4" s="7" t="s">
        <v>104</v>
      </c>
    </row>
    <row r="5" spans="2:12" x14ac:dyDescent="0.2">
      <c r="B5" s="6" t="s">
        <v>98</v>
      </c>
      <c r="C5" s="28">
        <f>DATE(2026,12,28)</f>
        <v>46384</v>
      </c>
      <c r="D5" s="28">
        <f>DATE(2027,1,8)</f>
        <v>46395</v>
      </c>
      <c r="E5" s="29">
        <f t="shared" ref="E5:E34" si="0">IF(OR(NOT(ISNUMBER(C5)),NOT(ISNUMBER(D5))),"",NETWORKDAYS(C5,D5,Libere))</f>
        <v>7</v>
      </c>
      <c r="F5" s="29">
        <f t="shared" ref="F5:F34" ca="1" si="1">IF(E5="","",SUMPRODUCT((WEEKDAY(ROW(INDIRECT(C5&amp;":"&amp;D5)),2)&lt;6)*(COUNTIF(Libere,ROW(INDIRECT(C5&amp;":"&amp;D5)))=0)*(COUNTIFS(VacTip,"Vacanță",VacStart,"&lt;="&amp;ROW(INDIRECT(C5&amp;":"&amp;D5)),VacEnd,"&gt;="&amp;ROW(INDIRECT(C5&amp;":"&amp;D5)))&gt;0)))</f>
        <v>7</v>
      </c>
      <c r="G5" s="30" t="str">
        <f t="shared" ref="G5:G34" ca="1" si="2">IF(B5="","",IF(AND(ISNUMBER(C5),ISNUMBER(D5),D5&lt;C5),"Data de sfârșit e înaintea celei de început.",IF(N(F5)=0,"Concediul nu se suprapune cu nicio vacanță școlară.","")))</f>
        <v/>
      </c>
      <c r="I5" s="8" t="str">
        <f>'Vacanțe și cursuri'!B7</f>
        <v>Vacanța de toamnă</v>
      </c>
      <c r="J5" s="31">
        <f>'Vacanțe și cursuri'!G7</f>
        <v>5</v>
      </c>
      <c r="K5" s="29">
        <f ca="1">SUMPRODUCT((WEEKDAY(ROW(INDIRECT('Vacanțe și cursuri'!$D$7&amp;":"&amp;'Vacanțe și cursuri'!$E$7)),2)&lt;6)*(COUNTIF(Libere,ROW(INDIRECT('Vacanțe și cursuri'!$D$7&amp;":"&amp;'Vacanțe și cursuri'!$E$7)))=0)*(COUNTIFS($C$5:$C$34,"&lt;="&amp;ROW(INDIRECT('Vacanțe și cursuri'!$D$7&amp;":"&amp;'Vacanțe și cursuri'!$E$7)),$D$5:$D$34,"&gt;="&amp;ROW(INDIRECT('Vacanțe și cursuri'!$D$7&amp;":"&amp;'Vacanțe și cursuri'!$E$7)))&gt;0))</f>
        <v>0</v>
      </c>
      <c r="L5" s="31">
        <f ca="1">J5-K5</f>
        <v>5</v>
      </c>
    </row>
    <row r="6" spans="2:12" x14ac:dyDescent="0.2">
      <c r="B6" s="6" t="s">
        <v>99</v>
      </c>
      <c r="C6" s="28">
        <f>DATE(2027,2,22)</f>
        <v>46440</v>
      </c>
      <c r="D6" s="28">
        <f>DATE(2027,2,26)</f>
        <v>46444</v>
      </c>
      <c r="E6" s="29">
        <f t="shared" si="0"/>
        <v>5</v>
      </c>
      <c r="F6" s="29">
        <f t="shared" ca="1" si="1"/>
        <v>5</v>
      </c>
      <c r="G6" s="30" t="str">
        <f t="shared" ca="1" si="2"/>
        <v/>
      </c>
      <c r="I6" s="8" t="str">
        <f>'Vacanțe și cursuri'!B9</f>
        <v>Vacanța de iarnă</v>
      </c>
      <c r="J6" s="31">
        <f>'Vacanțe și cursuri'!G9</f>
        <v>9</v>
      </c>
      <c r="K6" s="29">
        <f ca="1">SUMPRODUCT((WEEKDAY(ROW(INDIRECT('Vacanțe și cursuri'!$D$9&amp;":"&amp;'Vacanțe și cursuri'!$E$9)),2)&lt;6)*(COUNTIF(Libere,ROW(INDIRECT('Vacanțe și cursuri'!$D$9&amp;":"&amp;'Vacanțe și cursuri'!$E$9)))=0)*(COUNTIFS($C$5:$C$34,"&lt;="&amp;ROW(INDIRECT('Vacanțe și cursuri'!$D$9&amp;":"&amp;'Vacanțe și cursuri'!$E$9)),$D$5:$D$34,"&gt;="&amp;ROW(INDIRECT('Vacanțe și cursuri'!$D$9&amp;":"&amp;'Vacanțe și cursuri'!$E$9)))&gt;0))</f>
        <v>7</v>
      </c>
      <c r="L6" s="31">
        <f ca="1">J6-K6</f>
        <v>2</v>
      </c>
    </row>
    <row r="7" spans="2:12" x14ac:dyDescent="0.2">
      <c r="B7" s="6" t="s">
        <v>99</v>
      </c>
      <c r="C7" s="28">
        <f>DATE(2027,4,26)</f>
        <v>46503</v>
      </c>
      <c r="D7" s="28">
        <f>DATE(2027,4,29)</f>
        <v>46506</v>
      </c>
      <c r="E7" s="29">
        <f t="shared" si="0"/>
        <v>4</v>
      </c>
      <c r="F7" s="29">
        <f t="shared" ca="1" si="1"/>
        <v>4</v>
      </c>
      <c r="G7" s="30" t="str">
        <f t="shared" ca="1" si="2"/>
        <v/>
      </c>
      <c r="I7" s="8" t="str">
        <f>'Vacanțe și cursuri'!B11</f>
        <v>Vacanța din februarie</v>
      </c>
      <c r="J7" s="31">
        <f>'Vacanțe și cursuri'!G11</f>
        <v>5</v>
      </c>
      <c r="K7" s="29">
        <f ca="1">SUMPRODUCT((WEEKDAY(ROW(INDIRECT('Vacanțe și cursuri'!$D$11&amp;":"&amp;'Vacanțe și cursuri'!$E$11)),2)&lt;6)*(COUNTIF(Libere,ROW(INDIRECT('Vacanțe și cursuri'!$D$11&amp;":"&amp;'Vacanțe și cursuri'!$E$11)))=0)*(COUNTIFS($C$5:$C$34,"&lt;="&amp;ROW(INDIRECT('Vacanțe și cursuri'!$D$11&amp;":"&amp;'Vacanțe și cursuri'!$E$11)),$D$5:$D$34,"&gt;="&amp;ROW(INDIRECT('Vacanțe și cursuri'!$D$11&amp;":"&amp;'Vacanțe și cursuri'!$E$11)))&gt;0))</f>
        <v>5</v>
      </c>
      <c r="L7" s="31">
        <f ca="1">J7-K7</f>
        <v>0</v>
      </c>
    </row>
    <row r="8" spans="2:12" x14ac:dyDescent="0.2">
      <c r="B8" s="6" t="s">
        <v>98</v>
      </c>
      <c r="C8" s="28">
        <f>DATE(2027,7,12)</f>
        <v>46580</v>
      </c>
      <c r="D8" s="28">
        <f>DATE(2027,7,23)</f>
        <v>46591</v>
      </c>
      <c r="E8" s="29">
        <f t="shared" si="0"/>
        <v>10</v>
      </c>
      <c r="F8" s="29">
        <f t="shared" ca="1" si="1"/>
        <v>10</v>
      </c>
      <c r="G8" s="30" t="str">
        <f t="shared" ca="1" si="2"/>
        <v/>
      </c>
      <c r="I8" s="8" t="str">
        <f>'Vacanțe și cursuri'!B13</f>
        <v>Vacanța de primăvară</v>
      </c>
      <c r="J8" s="31">
        <f>'Vacanțe și cursuri'!G13</f>
        <v>5</v>
      </c>
      <c r="K8" s="29">
        <f ca="1">SUMPRODUCT((WEEKDAY(ROW(INDIRECT('Vacanțe și cursuri'!$D$13&amp;":"&amp;'Vacanțe și cursuri'!$E$13)),2)&lt;6)*(COUNTIF(Libere,ROW(INDIRECT('Vacanțe și cursuri'!$D$13&amp;":"&amp;'Vacanțe și cursuri'!$E$13)))=0)*(COUNTIFS($C$5:$C$34,"&lt;="&amp;ROW(INDIRECT('Vacanțe și cursuri'!$D$13&amp;":"&amp;'Vacanțe și cursuri'!$E$13)),$D$5:$D$34,"&gt;="&amp;ROW(INDIRECT('Vacanțe și cursuri'!$D$13&amp;":"&amp;'Vacanțe și cursuri'!$E$13)))&gt;0))</f>
        <v>4</v>
      </c>
      <c r="L8" s="31">
        <f ca="1">J8-K8</f>
        <v>1</v>
      </c>
    </row>
    <row r="9" spans="2:12" x14ac:dyDescent="0.2">
      <c r="B9" s="6" t="s">
        <v>99</v>
      </c>
      <c r="C9" s="28">
        <f>DATE(2027,8,2)</f>
        <v>46601</v>
      </c>
      <c r="D9" s="28">
        <f>DATE(2027,8,13)</f>
        <v>46612</v>
      </c>
      <c r="E9" s="29">
        <f t="shared" si="0"/>
        <v>10</v>
      </c>
      <c r="F9" s="29">
        <f t="shared" ca="1" si="1"/>
        <v>10</v>
      </c>
      <c r="G9" s="30" t="str">
        <f t="shared" ca="1" si="2"/>
        <v/>
      </c>
      <c r="I9" s="8" t="str">
        <f>'Vacanțe și cursuri'!B15</f>
        <v>Vacanța de vară</v>
      </c>
      <c r="J9" s="31">
        <f>'Vacanțe și cursuri'!G15</f>
        <v>54</v>
      </c>
      <c r="K9" s="29">
        <f ca="1">SUMPRODUCT((WEEKDAY(ROW(INDIRECT('Vacanțe și cursuri'!$D$15&amp;":"&amp;'Vacanțe și cursuri'!$E$15)),2)&lt;6)*(COUNTIF(Libere,ROW(INDIRECT('Vacanțe și cursuri'!$D$15&amp;":"&amp;'Vacanțe și cursuri'!$E$15)))=0)*(COUNTIFS($C$5:$C$34,"&lt;="&amp;ROW(INDIRECT('Vacanțe și cursuri'!$D$15&amp;":"&amp;'Vacanțe și cursuri'!$E$15)),$D$5:$D$34,"&gt;="&amp;ROW(INDIRECT('Vacanțe și cursuri'!$D$15&amp;":"&amp;'Vacanțe și cursuri'!$E$15)))&gt;0))</f>
        <v>34</v>
      </c>
      <c r="L9" s="31">
        <f ca="1">J9-K9</f>
        <v>20</v>
      </c>
    </row>
    <row r="10" spans="2:12" x14ac:dyDescent="0.2">
      <c r="B10" s="6" t="s">
        <v>100</v>
      </c>
      <c r="C10" s="28">
        <f>DATE(2027,6,21)</f>
        <v>46559</v>
      </c>
      <c r="D10" s="28">
        <f>DATE(2027,7,9)</f>
        <v>46577</v>
      </c>
      <c r="E10" s="29">
        <f t="shared" si="0"/>
        <v>14</v>
      </c>
      <c r="F10" s="29">
        <f t="shared" ca="1" si="1"/>
        <v>14</v>
      </c>
      <c r="G10" s="30" t="str">
        <f t="shared" ca="1" si="2"/>
        <v/>
      </c>
    </row>
    <row r="11" spans="2:12" x14ac:dyDescent="0.2">
      <c r="B11" s="6"/>
      <c r="C11" s="28"/>
      <c r="D11" s="28"/>
      <c r="E11" s="29" t="str">
        <f t="shared" si="0"/>
        <v/>
      </c>
      <c r="F11" s="29" t="str">
        <f t="shared" ca="1" si="1"/>
        <v/>
      </c>
      <c r="G11" s="30" t="str">
        <f t="shared" si="2"/>
        <v/>
      </c>
      <c r="I11" s="3" t="s">
        <v>105</v>
      </c>
    </row>
    <row r="12" spans="2:12" x14ac:dyDescent="0.2">
      <c r="B12" s="6"/>
      <c r="C12" s="28"/>
      <c r="D12" s="28"/>
      <c r="E12" s="29" t="str">
        <f t="shared" si="0"/>
        <v/>
      </c>
      <c r="F12" s="29" t="str">
        <f t="shared" ca="1" si="1"/>
        <v/>
      </c>
      <c r="G12" s="30" t="str">
        <f t="shared" si="2"/>
        <v/>
      </c>
    </row>
    <row r="13" spans="2:12" x14ac:dyDescent="0.2">
      <c r="B13" s="6"/>
      <c r="C13" s="28"/>
      <c r="D13" s="28"/>
      <c r="E13" s="29" t="str">
        <f t="shared" si="0"/>
        <v/>
      </c>
      <c r="F13" s="29" t="str">
        <f t="shared" ca="1" si="1"/>
        <v/>
      </c>
      <c r="G13" s="30" t="str">
        <f t="shared" si="2"/>
        <v/>
      </c>
    </row>
    <row r="14" spans="2:12" x14ac:dyDescent="0.2">
      <c r="B14" s="6"/>
      <c r="C14" s="28"/>
      <c r="D14" s="28"/>
      <c r="E14" s="29" t="str">
        <f t="shared" si="0"/>
        <v/>
      </c>
      <c r="F14" s="29" t="str">
        <f t="shared" ca="1" si="1"/>
        <v/>
      </c>
      <c r="G14" s="30" t="str">
        <f t="shared" si="2"/>
        <v/>
      </c>
    </row>
    <row r="15" spans="2:12" x14ac:dyDescent="0.2">
      <c r="B15" s="6"/>
      <c r="C15" s="28"/>
      <c r="D15" s="28"/>
      <c r="E15" s="29" t="str">
        <f t="shared" si="0"/>
        <v/>
      </c>
      <c r="F15" s="29" t="str">
        <f t="shared" ca="1" si="1"/>
        <v/>
      </c>
      <c r="G15" s="30" t="str">
        <f t="shared" si="2"/>
        <v/>
      </c>
    </row>
    <row r="16" spans="2:12" x14ac:dyDescent="0.2">
      <c r="B16" s="6"/>
      <c r="C16" s="28"/>
      <c r="D16" s="28"/>
      <c r="E16" s="29" t="str">
        <f t="shared" si="0"/>
        <v/>
      </c>
      <c r="F16" s="29" t="str">
        <f t="shared" ca="1" si="1"/>
        <v/>
      </c>
      <c r="G16" s="30" t="str">
        <f t="shared" si="2"/>
        <v/>
      </c>
    </row>
    <row r="17" spans="2:7" x14ac:dyDescent="0.2">
      <c r="B17" s="6"/>
      <c r="C17" s="28"/>
      <c r="D17" s="28"/>
      <c r="E17" s="29" t="str">
        <f t="shared" si="0"/>
        <v/>
      </c>
      <c r="F17" s="29" t="str">
        <f t="shared" ca="1" si="1"/>
        <v/>
      </c>
      <c r="G17" s="30" t="str">
        <f t="shared" si="2"/>
        <v/>
      </c>
    </row>
    <row r="18" spans="2:7" x14ac:dyDescent="0.2">
      <c r="B18" s="6"/>
      <c r="C18" s="28"/>
      <c r="D18" s="28"/>
      <c r="E18" s="29" t="str">
        <f t="shared" si="0"/>
        <v/>
      </c>
      <c r="F18" s="29" t="str">
        <f t="shared" ca="1" si="1"/>
        <v/>
      </c>
      <c r="G18" s="30" t="str">
        <f t="shared" si="2"/>
        <v/>
      </c>
    </row>
    <row r="19" spans="2:7" x14ac:dyDescent="0.2">
      <c r="B19" s="6"/>
      <c r="C19" s="28"/>
      <c r="D19" s="28"/>
      <c r="E19" s="29" t="str">
        <f t="shared" si="0"/>
        <v/>
      </c>
      <c r="F19" s="29" t="str">
        <f t="shared" ca="1" si="1"/>
        <v/>
      </c>
      <c r="G19" s="30" t="str">
        <f t="shared" si="2"/>
        <v/>
      </c>
    </row>
    <row r="20" spans="2:7" x14ac:dyDescent="0.2">
      <c r="B20" s="6"/>
      <c r="C20" s="28"/>
      <c r="D20" s="28"/>
      <c r="E20" s="29" t="str">
        <f t="shared" si="0"/>
        <v/>
      </c>
      <c r="F20" s="29" t="str">
        <f t="shared" ca="1" si="1"/>
        <v/>
      </c>
      <c r="G20" s="30" t="str">
        <f t="shared" si="2"/>
        <v/>
      </c>
    </row>
    <row r="21" spans="2:7" x14ac:dyDescent="0.2">
      <c r="B21" s="6"/>
      <c r="C21" s="28"/>
      <c r="D21" s="28"/>
      <c r="E21" s="29" t="str">
        <f t="shared" si="0"/>
        <v/>
      </c>
      <c r="F21" s="29" t="str">
        <f t="shared" ca="1" si="1"/>
        <v/>
      </c>
      <c r="G21" s="30" t="str">
        <f t="shared" si="2"/>
        <v/>
      </c>
    </row>
    <row r="22" spans="2:7" x14ac:dyDescent="0.2">
      <c r="B22" s="6"/>
      <c r="C22" s="28"/>
      <c r="D22" s="28"/>
      <c r="E22" s="29" t="str">
        <f t="shared" si="0"/>
        <v/>
      </c>
      <c r="F22" s="29" t="str">
        <f t="shared" ca="1" si="1"/>
        <v/>
      </c>
      <c r="G22" s="30" t="str">
        <f t="shared" si="2"/>
        <v/>
      </c>
    </row>
    <row r="23" spans="2:7" x14ac:dyDescent="0.2">
      <c r="B23" s="6"/>
      <c r="C23" s="28"/>
      <c r="D23" s="28"/>
      <c r="E23" s="29" t="str">
        <f t="shared" si="0"/>
        <v/>
      </c>
      <c r="F23" s="29" t="str">
        <f t="shared" ca="1" si="1"/>
        <v/>
      </c>
      <c r="G23" s="30" t="str">
        <f t="shared" si="2"/>
        <v/>
      </c>
    </row>
    <row r="24" spans="2:7" x14ac:dyDescent="0.2">
      <c r="B24" s="6"/>
      <c r="C24" s="28"/>
      <c r="D24" s="28"/>
      <c r="E24" s="29" t="str">
        <f t="shared" si="0"/>
        <v/>
      </c>
      <c r="F24" s="29" t="str">
        <f t="shared" ca="1" si="1"/>
        <v/>
      </c>
      <c r="G24" s="30" t="str">
        <f t="shared" si="2"/>
        <v/>
      </c>
    </row>
    <row r="25" spans="2:7" x14ac:dyDescent="0.2">
      <c r="B25" s="6"/>
      <c r="C25" s="28"/>
      <c r="D25" s="28"/>
      <c r="E25" s="29" t="str">
        <f t="shared" si="0"/>
        <v/>
      </c>
      <c r="F25" s="29" t="str">
        <f t="shared" ca="1" si="1"/>
        <v/>
      </c>
      <c r="G25" s="30" t="str">
        <f t="shared" si="2"/>
        <v/>
      </c>
    </row>
    <row r="26" spans="2:7" x14ac:dyDescent="0.2">
      <c r="B26" s="6"/>
      <c r="C26" s="28"/>
      <c r="D26" s="28"/>
      <c r="E26" s="29" t="str">
        <f t="shared" si="0"/>
        <v/>
      </c>
      <c r="F26" s="29" t="str">
        <f t="shared" ca="1" si="1"/>
        <v/>
      </c>
      <c r="G26" s="30" t="str">
        <f t="shared" si="2"/>
        <v/>
      </c>
    </row>
    <row r="27" spans="2:7" x14ac:dyDescent="0.2">
      <c r="B27" s="6"/>
      <c r="C27" s="28"/>
      <c r="D27" s="28"/>
      <c r="E27" s="29" t="str">
        <f t="shared" si="0"/>
        <v/>
      </c>
      <c r="F27" s="29" t="str">
        <f t="shared" ca="1" si="1"/>
        <v/>
      </c>
      <c r="G27" s="30" t="str">
        <f t="shared" si="2"/>
        <v/>
      </c>
    </row>
    <row r="28" spans="2:7" x14ac:dyDescent="0.2">
      <c r="B28" s="6"/>
      <c r="C28" s="28"/>
      <c r="D28" s="28"/>
      <c r="E28" s="29" t="str">
        <f t="shared" si="0"/>
        <v/>
      </c>
      <c r="F28" s="29" t="str">
        <f t="shared" ca="1" si="1"/>
        <v/>
      </c>
      <c r="G28" s="30" t="str">
        <f t="shared" si="2"/>
        <v/>
      </c>
    </row>
    <row r="29" spans="2:7" x14ac:dyDescent="0.2">
      <c r="B29" s="6"/>
      <c r="C29" s="28"/>
      <c r="D29" s="28"/>
      <c r="E29" s="29" t="str">
        <f t="shared" si="0"/>
        <v/>
      </c>
      <c r="F29" s="29" t="str">
        <f t="shared" ca="1" si="1"/>
        <v/>
      </c>
      <c r="G29" s="30" t="str">
        <f t="shared" si="2"/>
        <v/>
      </c>
    </row>
    <row r="30" spans="2:7" x14ac:dyDescent="0.2">
      <c r="B30" s="6"/>
      <c r="C30" s="28"/>
      <c r="D30" s="28"/>
      <c r="E30" s="29" t="str">
        <f t="shared" si="0"/>
        <v/>
      </c>
      <c r="F30" s="29" t="str">
        <f t="shared" ca="1" si="1"/>
        <v/>
      </c>
      <c r="G30" s="30" t="str">
        <f t="shared" si="2"/>
        <v/>
      </c>
    </row>
    <row r="31" spans="2:7" x14ac:dyDescent="0.2">
      <c r="B31" s="6"/>
      <c r="C31" s="28"/>
      <c r="D31" s="28"/>
      <c r="E31" s="29" t="str">
        <f t="shared" si="0"/>
        <v/>
      </c>
      <c r="F31" s="29" t="str">
        <f t="shared" ca="1" si="1"/>
        <v/>
      </c>
      <c r="G31" s="30" t="str">
        <f t="shared" si="2"/>
        <v/>
      </c>
    </row>
    <row r="32" spans="2:7" x14ac:dyDescent="0.2">
      <c r="B32" s="6"/>
      <c r="C32" s="28"/>
      <c r="D32" s="28"/>
      <c r="E32" s="29" t="str">
        <f t="shared" si="0"/>
        <v/>
      </c>
      <c r="F32" s="29" t="str">
        <f t="shared" ca="1" si="1"/>
        <v/>
      </c>
      <c r="G32" s="30" t="str">
        <f t="shared" si="2"/>
        <v/>
      </c>
    </row>
    <row r="33" spans="2:7" x14ac:dyDescent="0.2">
      <c r="B33" s="6"/>
      <c r="C33" s="28"/>
      <c r="D33" s="28"/>
      <c r="E33" s="29" t="str">
        <f t="shared" si="0"/>
        <v/>
      </c>
      <c r="F33" s="29" t="str">
        <f t="shared" ca="1" si="1"/>
        <v/>
      </c>
      <c r="G33" s="30" t="str">
        <f t="shared" si="2"/>
        <v/>
      </c>
    </row>
    <row r="34" spans="2:7" x14ac:dyDescent="0.2">
      <c r="B34" s="6"/>
      <c r="C34" s="28"/>
      <c r="D34" s="28"/>
      <c r="E34" s="29" t="str">
        <f t="shared" si="0"/>
        <v/>
      </c>
      <c r="F34" s="29" t="str">
        <f t="shared" ca="1" si="1"/>
        <v/>
      </c>
      <c r="G34" s="30" t="str">
        <f t="shared" si="2"/>
        <v/>
      </c>
    </row>
  </sheetData>
  <conditionalFormatting sqref="L5:L9">
    <cfRule type="cellIs" dxfId="1" priority="1" stopIfTrue="1" operator="greaterThan">
      <formula>0</formula>
    </cfRule>
    <cfRule type="cellIs" dxfId="0" priority="2" stopIfTrue="1" operator="equal">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D4031-3F56-4DEE-BA87-81D222C2B6CD}">
  <dimension ref="B1:N38"/>
  <sheetViews>
    <sheetView showGridLines="0" workbookViewId="0"/>
  </sheetViews>
  <sheetFormatPr baseColWidth="10" defaultRowHeight="12.75" x14ac:dyDescent="0.2"/>
  <cols>
    <col min="1" max="1" width="2.7109375" style="1" customWidth="1"/>
    <col min="2" max="2" width="34.7109375" style="1" customWidth="1"/>
    <col min="3" max="3" width="40.7109375" style="1" customWidth="1"/>
    <col min="4" max="4" width="3.7109375" style="1" customWidth="1"/>
    <col min="5" max="5" width="44.7109375" style="1" customWidth="1"/>
    <col min="6" max="9" width="12.7109375" style="1" customWidth="1"/>
    <col min="10" max="10" width="3.7109375" style="1" customWidth="1"/>
    <col min="11" max="11" width="11.7109375" style="1" customWidth="1"/>
    <col min="12" max="12" width="28.7109375" style="1" customWidth="1"/>
    <col min="13" max="16384" width="11.42578125" style="1"/>
  </cols>
  <sheetData>
    <row r="1" spans="2:14" ht="21" x14ac:dyDescent="0.35">
      <c r="B1" s="2" t="s">
        <v>0</v>
      </c>
    </row>
    <row r="2" spans="2:14" x14ac:dyDescent="0.2">
      <c r="B2" s="3" t="s">
        <v>1</v>
      </c>
    </row>
    <row r="4" spans="2:14" ht="25.5" x14ac:dyDescent="0.2">
      <c r="B4" s="5" t="s">
        <v>2</v>
      </c>
      <c r="C4" s="6" t="s">
        <v>3</v>
      </c>
      <c r="E4" s="7" t="s">
        <v>8</v>
      </c>
      <c r="F4" s="7" t="s">
        <v>9</v>
      </c>
      <c r="G4" s="7" t="s">
        <v>10</v>
      </c>
      <c r="H4" s="7" t="s">
        <v>11</v>
      </c>
      <c r="I4" s="7" t="s">
        <v>12</v>
      </c>
      <c r="K4" s="7" t="s">
        <v>19</v>
      </c>
      <c r="L4" s="7" t="s">
        <v>20</v>
      </c>
      <c r="N4" s="11" t="s">
        <v>39</v>
      </c>
    </row>
    <row r="5" spans="2:14" x14ac:dyDescent="0.2">
      <c r="B5" s="5" t="s">
        <v>4</v>
      </c>
      <c r="C5" s="6" t="s">
        <v>5</v>
      </c>
      <c r="E5" s="8" t="s">
        <v>13</v>
      </c>
      <c r="F5" s="9">
        <f>DATE(2027,2,12)</f>
        <v>46430</v>
      </c>
      <c r="G5" s="9">
        <f>DATE(2027,2,13)</f>
        <v>46431</v>
      </c>
      <c r="H5" s="9">
        <f>DATE(2027,2,21)</f>
        <v>46439</v>
      </c>
      <c r="I5" s="9">
        <f>DATE(2027,2,22)</f>
        <v>46440</v>
      </c>
      <c r="K5" s="10">
        <f>DATE(2026,10,5)</f>
        <v>46300</v>
      </c>
      <c r="L5" s="6" t="s">
        <v>21</v>
      </c>
      <c r="N5" s="12">
        <f>INDEX($F$5:$F$7,MATCH(OptFeb,ListaFeb,0))</f>
        <v>46437</v>
      </c>
    </row>
    <row r="6" spans="2:14" x14ac:dyDescent="0.2">
      <c r="B6" s="5" t="s">
        <v>6</v>
      </c>
      <c r="C6" s="6" t="s">
        <v>7</v>
      </c>
      <c r="E6" s="8" t="s">
        <v>5</v>
      </c>
      <c r="F6" s="9">
        <f>DATE(2027,2,19)</f>
        <v>46437</v>
      </c>
      <c r="G6" s="9">
        <f>DATE(2027,2,20)</f>
        <v>46438</v>
      </c>
      <c r="H6" s="9">
        <f>DATE(2027,2,28)</f>
        <v>46446</v>
      </c>
      <c r="I6" s="9">
        <f>DATE(2027,3,1)</f>
        <v>46447</v>
      </c>
      <c r="K6" s="10">
        <f>DATE(2026,11,30)</f>
        <v>46356</v>
      </c>
      <c r="L6" s="6" t="s">
        <v>22</v>
      </c>
      <c r="N6" s="12">
        <f>INDEX($G$5:$G$7,MATCH(OptFeb,ListaFeb,0))</f>
        <v>46438</v>
      </c>
    </row>
    <row r="7" spans="2:14" x14ac:dyDescent="0.2">
      <c r="E7" s="8" t="s">
        <v>14</v>
      </c>
      <c r="F7" s="9">
        <f>DATE(2027,2,26)</f>
        <v>46444</v>
      </c>
      <c r="G7" s="9">
        <f>DATE(2027,2,27)</f>
        <v>46445</v>
      </c>
      <c r="H7" s="9">
        <f>DATE(2027,3,7)</f>
        <v>46453</v>
      </c>
      <c r="I7" s="9">
        <f>DATE(2027,3,8)</f>
        <v>46454</v>
      </c>
      <c r="K7" s="10">
        <f>DATE(2026,12,1)</f>
        <v>46357</v>
      </c>
      <c r="L7" s="6" t="s">
        <v>23</v>
      </c>
      <c r="N7" s="12">
        <f>INDEX($H$5:$H$7,MATCH(OptFeb,ListaFeb,0))</f>
        <v>46446</v>
      </c>
    </row>
    <row r="8" spans="2:14" ht="42" customHeight="1" x14ac:dyDescent="0.2">
      <c r="B8" s="35" t="s">
        <v>38</v>
      </c>
      <c r="C8" s="36"/>
      <c r="K8" s="10">
        <f>DATE(2026,12,25)</f>
        <v>46381</v>
      </c>
      <c r="L8" s="6" t="s">
        <v>24</v>
      </c>
      <c r="N8" s="12">
        <f>INDEX($I$5:$I$7,MATCH(OptFeb,ListaFeb,0))</f>
        <v>46447</v>
      </c>
    </row>
    <row r="9" spans="2:14" ht="25.5" x14ac:dyDescent="0.2">
      <c r="E9" s="7" t="s">
        <v>6</v>
      </c>
      <c r="F9" s="7" t="s">
        <v>9</v>
      </c>
      <c r="G9" s="7" t="s">
        <v>15</v>
      </c>
      <c r="K9" s="10">
        <f>DATE(2026,12,26)</f>
        <v>46382</v>
      </c>
      <c r="L9" s="6" t="s">
        <v>25</v>
      </c>
      <c r="N9" s="12">
        <f>INDEX($F$10:$F$13,MATCH(TipClasa,ListaClase,0))</f>
        <v>46556</v>
      </c>
    </row>
    <row r="10" spans="2:14" x14ac:dyDescent="0.2">
      <c r="E10" s="8" t="s">
        <v>7</v>
      </c>
      <c r="F10" s="9">
        <f>DATE(2027,6,18)</f>
        <v>46556</v>
      </c>
      <c r="G10" s="8">
        <v>36</v>
      </c>
      <c r="K10" s="10">
        <f>DATE(2027,1,1)</f>
        <v>46388</v>
      </c>
      <c r="L10" s="6" t="s">
        <v>26</v>
      </c>
    </row>
    <row r="11" spans="2:14" x14ac:dyDescent="0.2">
      <c r="E11" s="8" t="s">
        <v>16</v>
      </c>
      <c r="F11" s="9">
        <f>DATE(2027,6,11)</f>
        <v>46549</v>
      </c>
      <c r="G11" s="8">
        <v>35</v>
      </c>
      <c r="K11" s="10">
        <f>DATE(2027,1,2)</f>
        <v>46389</v>
      </c>
      <c r="L11" s="6" t="s">
        <v>26</v>
      </c>
    </row>
    <row r="12" spans="2:14" x14ac:dyDescent="0.2">
      <c r="E12" s="8" t="s">
        <v>17</v>
      </c>
      <c r="F12" s="9">
        <f>DATE(2027,6,4)</f>
        <v>46542</v>
      </c>
      <c r="G12" s="8">
        <v>34</v>
      </c>
      <c r="K12" s="10">
        <f>DATE(2027,1,6)</f>
        <v>46393</v>
      </c>
      <c r="L12" s="6" t="s">
        <v>27</v>
      </c>
    </row>
    <row r="13" spans="2:14" x14ac:dyDescent="0.2">
      <c r="E13" s="8" t="s">
        <v>18</v>
      </c>
      <c r="F13" s="9">
        <f>DATE(2027,6,25)</f>
        <v>46563</v>
      </c>
      <c r="G13" s="8">
        <v>37</v>
      </c>
      <c r="K13" s="10">
        <f>DATE(2027,1,7)</f>
        <v>46394</v>
      </c>
      <c r="L13" s="6" t="s">
        <v>28</v>
      </c>
    </row>
    <row r="14" spans="2:14" x14ac:dyDescent="0.2">
      <c r="K14" s="10">
        <f>DATE(2027,1,24)</f>
        <v>46411</v>
      </c>
      <c r="L14" s="6" t="s">
        <v>29</v>
      </c>
    </row>
    <row r="15" spans="2:14" x14ac:dyDescent="0.2">
      <c r="K15" s="10">
        <f>DATE(2027,4,30)</f>
        <v>46507</v>
      </c>
      <c r="L15" s="6" t="s">
        <v>30</v>
      </c>
    </row>
    <row r="16" spans="2:14" x14ac:dyDescent="0.2">
      <c r="K16" s="10">
        <f>DATE(2027,5,1)</f>
        <v>46508</v>
      </c>
      <c r="L16" s="6" t="s">
        <v>31</v>
      </c>
    </row>
    <row r="17" spans="11:12" x14ac:dyDescent="0.2">
      <c r="K17" s="10">
        <f>DATE(2027,5,2)</f>
        <v>46509</v>
      </c>
      <c r="L17" s="6" t="s">
        <v>32</v>
      </c>
    </row>
    <row r="18" spans="11:12" x14ac:dyDescent="0.2">
      <c r="K18" s="10">
        <f>DATE(2027,5,3)</f>
        <v>46510</v>
      </c>
      <c r="L18" s="6" t="s">
        <v>33</v>
      </c>
    </row>
    <row r="19" spans="11:12" x14ac:dyDescent="0.2">
      <c r="K19" s="10">
        <f>DATE(2027,6,1)</f>
        <v>46539</v>
      </c>
      <c r="L19" s="6" t="s">
        <v>34</v>
      </c>
    </row>
    <row r="20" spans="11:12" x14ac:dyDescent="0.2">
      <c r="K20" s="10">
        <f>DATE(2027,6,20)</f>
        <v>46558</v>
      </c>
      <c r="L20" s="6" t="s">
        <v>35</v>
      </c>
    </row>
    <row r="21" spans="11:12" x14ac:dyDescent="0.2">
      <c r="K21" s="10">
        <f>DATE(2027,6,21)</f>
        <v>46559</v>
      </c>
      <c r="L21" s="6" t="s">
        <v>36</v>
      </c>
    </row>
    <row r="22" spans="11:12" x14ac:dyDescent="0.2">
      <c r="K22" s="10">
        <f>DATE(2027,8,15)</f>
        <v>46614</v>
      </c>
      <c r="L22" s="6" t="s">
        <v>37</v>
      </c>
    </row>
    <row r="23" spans="11:12" x14ac:dyDescent="0.2">
      <c r="K23" s="10"/>
      <c r="L23" s="6"/>
    </row>
    <row r="24" spans="11:12" x14ac:dyDescent="0.2">
      <c r="K24" s="10"/>
      <c r="L24" s="6"/>
    </row>
    <row r="25" spans="11:12" x14ac:dyDescent="0.2">
      <c r="K25" s="10"/>
      <c r="L25" s="6"/>
    </row>
    <row r="26" spans="11:12" x14ac:dyDescent="0.2">
      <c r="K26" s="10"/>
      <c r="L26" s="6"/>
    </row>
    <row r="27" spans="11:12" x14ac:dyDescent="0.2">
      <c r="K27" s="10"/>
      <c r="L27" s="6"/>
    </row>
    <row r="28" spans="11:12" x14ac:dyDescent="0.2">
      <c r="K28" s="10"/>
      <c r="L28" s="6"/>
    </row>
    <row r="29" spans="11:12" x14ac:dyDescent="0.2">
      <c r="K29" s="10"/>
      <c r="L29" s="6"/>
    </row>
    <row r="30" spans="11:12" x14ac:dyDescent="0.2">
      <c r="K30" s="10"/>
      <c r="L30" s="6"/>
    </row>
    <row r="31" spans="11:12" x14ac:dyDescent="0.2">
      <c r="K31" s="10"/>
      <c r="L31" s="6"/>
    </row>
    <row r="32" spans="11:12" x14ac:dyDescent="0.2">
      <c r="K32" s="10"/>
      <c r="L32" s="6"/>
    </row>
    <row r="33" spans="2:12" x14ac:dyDescent="0.2">
      <c r="K33" s="10"/>
      <c r="L33" s="6"/>
    </row>
    <row r="34" spans="2:12" x14ac:dyDescent="0.2">
      <c r="K34" s="10"/>
      <c r="L34" s="6"/>
    </row>
    <row r="36" spans="2:12" x14ac:dyDescent="0.2">
      <c r="B36" s="37" t="s">
        <v>106</v>
      </c>
    </row>
    <row r="37" spans="2:12" x14ac:dyDescent="0.2">
      <c r="B37" s="38" t="s">
        <v>107</v>
      </c>
    </row>
    <row r="38" spans="2:12" x14ac:dyDescent="0.2">
      <c r="B38" s="39" t="s">
        <v>108</v>
      </c>
    </row>
  </sheetData>
  <mergeCells count="1">
    <mergeCell ref="B8:C8"/>
  </mergeCells>
  <dataValidations count="2">
    <dataValidation type="list" allowBlank="1" showInputMessage="1" showErrorMessage="1" sqref="C5" xr:uid="{20E05ED1-5B67-4C57-839A-74DB4D7F2242}">
      <formula1>ListaFeb</formula1>
    </dataValidation>
    <dataValidation type="list" allowBlank="1" showInputMessage="1" showErrorMessage="1" sqref="C6" xr:uid="{E1B384EB-77E1-424F-9536-0996B2C85D1A}">
      <formula1>ListaClase</formula1>
    </dataValidation>
  </dataValidations>
  <hyperlinks>
    <hyperlink ref="B38" r:id="rId1" tooltip="Instrucțiuni și alte modele gratuite" xr:uid="{F0FDE3C2-B257-49EC-BFC4-2613D62AA9B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17</vt:i4>
      </vt:variant>
    </vt:vector>
  </HeadingPairs>
  <TitlesOfParts>
    <vt:vector size="21" baseType="lpstr">
      <vt:lpstr>Calendar an școlar</vt:lpstr>
      <vt:lpstr>Vacanțe și cursuri</vt:lpstr>
      <vt:lpstr>Concedii familie</vt:lpstr>
      <vt:lpstr>Setări</vt:lpstr>
      <vt:lpstr>'Calendar an școlar'!Área_de_impresión</vt:lpstr>
      <vt:lpstr>FebReluare</vt:lpstr>
      <vt:lpstr>FebUltCurs</vt:lpstr>
      <vt:lpstr>FebVacEnd</vt:lpstr>
      <vt:lpstr>FebVacStart</vt:lpstr>
      <vt:lpstr>Judet</vt:lpstr>
      <vt:lpstr>Libere</vt:lpstr>
      <vt:lpstr>ListaClase</vt:lpstr>
      <vt:lpstr>ListaFeb</vt:lpstr>
      <vt:lpstr>OptFeb</vt:lpstr>
      <vt:lpstr>TabelClase</vt:lpstr>
      <vt:lpstr>TabelFeb</vt:lpstr>
      <vt:lpstr>TipClasa</vt:lpstr>
      <vt:lpstr>UltCurs</vt:lpstr>
      <vt:lpstr>VacEnd</vt:lpstr>
      <vt:lpstr>VacStart</vt:lpstr>
      <vt:lpstr>VacTip</vt:lpstr>
    </vt:vector>
  </TitlesOfParts>
  <Company>modelexcel.ro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Vacanțe școlare 2027 – calendarul anului școlar 2026–2027 (Excel)</dc:title>
  <dc:subject>Model Excel gratuit în limba română</dc:subject>
  <dc:creator>Ray Moreno · modelexcel.ro</dc:creator>
  <cp:keywords>modelexcel.ro, model Excel, Vacanțe școlare 2027 – calendarul anului școlar 2026–2027 (Excel)</cp:keywords>
  <dc:description>© 2026 Ray Moreno – modelexcel.ro. Model gratuit: îl poți folosi și adapta în activitatea ta. Nu este permisă revânzarea lui sau publicarea pe alte site-uri. https://modelexcel.ro/vacante-scolare-2027/</dc:description>
  <cp:lastModifiedBy>Ray Moreno · modelexcel.ro</cp:lastModifiedBy>
  <dcterms:created xsi:type="dcterms:W3CDTF">2026-10-13T22:04:14Z</dcterms:created>
  <dcterms:modified xsi:type="dcterms:W3CDTF">2026-10-13T22:13:17Z</dcterms:modified>
  <cp:category>Model Excel</cp:category>
</cp:coreProperties>
</file>