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999C4C7A-48B1-4AFD-8D22-E146C8BE2BF5}" xr6:coauthVersionLast="47" xr6:coauthVersionMax="47" xr10:uidLastSave="{00000000-0000-0000-0000-000000000000}"/>
  <bookViews>
    <workbookView xWindow="-28920" yWindow="-120" windowWidth="29040" windowHeight="15720" xr2:uid="{F235D22E-D18D-4FFF-AA00-8A0B2003BFD7}"/>
  </bookViews>
  <sheets>
    <sheet name="Zile libere 2027" sheetId="1" r:id="rId1"/>
    <sheet name="Punți și minivacanțe" sheetId="2" r:id="rId2"/>
    <sheet name="Planificator concediu" sheetId="3" r:id="rId3"/>
    <sheet name="Zile lucrătoare 2027" sheetId="4" r:id="rId4"/>
    <sheet name="Despre model" sheetId="5" r:id="rId5"/>
  </sheets>
  <definedNames>
    <definedName name="Sarbatori2027">'Zile libere 2027'!$C$5:$C$21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" i="4" l="1"/>
  <c r="F17" i="4"/>
  <c r="E17" i="4"/>
  <c r="D17" i="4"/>
  <c r="C17" i="4"/>
  <c r="G16" i="4"/>
  <c r="F16" i="4"/>
  <c r="E16" i="4" s="1"/>
  <c r="D16" i="4"/>
  <c r="C16" i="4"/>
  <c r="G15" i="4"/>
  <c r="F15" i="4"/>
  <c r="E15" i="4" s="1"/>
  <c r="D15" i="4"/>
  <c r="C15" i="4"/>
  <c r="G14" i="4"/>
  <c r="F14" i="4"/>
  <c r="E14" i="4" s="1"/>
  <c r="D14" i="4"/>
  <c r="C14" i="4"/>
  <c r="G13" i="4"/>
  <c r="F13" i="4"/>
  <c r="E13" i="4" s="1"/>
  <c r="D13" i="4"/>
  <c r="C13" i="4"/>
  <c r="G12" i="4"/>
  <c r="F12" i="4"/>
  <c r="E12" i="4" s="1"/>
  <c r="D12" i="4"/>
  <c r="C12" i="4"/>
  <c r="G11" i="4"/>
  <c r="F11" i="4"/>
  <c r="E11" i="4" s="1"/>
  <c r="D11" i="4"/>
  <c r="C11" i="4"/>
  <c r="G10" i="4"/>
  <c r="F10" i="4"/>
  <c r="E10" i="4" s="1"/>
  <c r="D10" i="4"/>
  <c r="C10" i="4"/>
  <c r="G9" i="4"/>
  <c r="F9" i="4"/>
  <c r="E9" i="4" s="1"/>
  <c r="D9" i="4"/>
  <c r="C9" i="4"/>
  <c r="G8" i="4"/>
  <c r="F8" i="4"/>
  <c r="E8" i="4" s="1"/>
  <c r="D8" i="4"/>
  <c r="C8" i="4"/>
  <c r="G7" i="4"/>
  <c r="F7" i="4"/>
  <c r="E7" i="4" s="1"/>
  <c r="D7" i="4"/>
  <c r="C7" i="4"/>
  <c r="G6" i="4"/>
  <c r="F6" i="4"/>
  <c r="E6" i="4" s="1"/>
  <c r="D6" i="4"/>
  <c r="C6" i="4"/>
  <c r="G5" i="4"/>
  <c r="F5" i="4"/>
  <c r="E5" i="4" s="1"/>
  <c r="D5" i="4"/>
  <c r="C5" i="4"/>
  <c r="F32" i="3"/>
  <c r="F31" i="3"/>
  <c r="F30" i="3"/>
  <c r="F29" i="3"/>
  <c r="D13" i="3"/>
  <c r="C13" i="3"/>
  <c r="D12" i="3"/>
  <c r="C12" i="3"/>
  <c r="D11" i="3"/>
  <c r="C11" i="3"/>
  <c r="D10" i="3"/>
  <c r="C10" i="3"/>
  <c r="D9" i="3"/>
  <c r="C9" i="3"/>
  <c r="D8" i="3"/>
  <c r="C8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F8" i="3"/>
  <c r="F9" i="3"/>
  <c r="F10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F26" i="1"/>
  <c r="F25" i="1"/>
  <c r="F24" i="1"/>
  <c r="F23" i="1"/>
  <c r="F21" i="1"/>
  <c r="D21" i="1"/>
  <c r="C21" i="1"/>
  <c r="F20" i="1"/>
  <c r="D20" i="1"/>
  <c r="C20" i="1"/>
  <c r="F19" i="1"/>
  <c r="D19" i="1"/>
  <c r="C19" i="1"/>
  <c r="F18" i="1"/>
  <c r="D18" i="1"/>
  <c r="C18" i="1"/>
  <c r="F17" i="1"/>
  <c r="D17" i="1"/>
  <c r="C17" i="1"/>
  <c r="F16" i="1"/>
  <c r="D16" i="1"/>
  <c r="C16" i="1"/>
  <c r="F15" i="1"/>
  <c r="D15" i="1"/>
  <c r="C15" i="1"/>
  <c r="F14" i="1"/>
  <c r="D14" i="1"/>
  <c r="C14" i="1"/>
  <c r="F13" i="1"/>
  <c r="D13" i="1"/>
  <c r="C13" i="1"/>
  <c r="F12" i="1"/>
  <c r="D12" i="1"/>
  <c r="C12" i="1"/>
  <c r="F11" i="1"/>
  <c r="D11" i="1"/>
  <c r="C11" i="1"/>
  <c r="F10" i="1"/>
  <c r="D10" i="1"/>
  <c r="C10" i="1"/>
  <c r="F9" i="1"/>
  <c r="D9" i="1"/>
  <c r="C9" i="1"/>
  <c r="F8" i="1"/>
  <c r="D8" i="1"/>
  <c r="C8" i="1"/>
  <c r="F7" i="1"/>
  <c r="D7" i="1"/>
  <c r="C7" i="1"/>
  <c r="F6" i="1"/>
  <c r="D6" i="1"/>
  <c r="C6" i="1"/>
  <c r="F5" i="1"/>
  <c r="D5" i="1"/>
  <c r="C5" i="1"/>
  <c r="F13" i="3" l="1"/>
  <c r="G13" i="3" s="1"/>
  <c r="E13" i="3"/>
  <c r="F12" i="3"/>
  <c r="E12" i="3"/>
  <c r="G12" i="3"/>
  <c r="F11" i="3"/>
  <c r="E11" i="3"/>
  <c r="G11" i="3"/>
  <c r="E10" i="3"/>
  <c r="G10" i="3"/>
  <c r="E9" i="3"/>
  <c r="G9" i="3"/>
  <c r="E8" i="3"/>
  <c r="G8" i="3"/>
</calcChain>
</file>

<file path=xl/sharedStrings.xml><?xml version="1.0" encoding="utf-8"?>
<sst xmlns="http://schemas.openxmlformats.org/spreadsheetml/2006/main" count="105" uniqueCount="100">
  <si>
    <t>Zile libere 2027 – sărbătorile legale din România</t>
  </si>
  <si>
    <t>Conform Codului muncii (art. 139). Rândurile colorate cad într-o zi lucrătoare; celelalte cad în weekend.</t>
  </si>
  <si>
    <t>Nr.</t>
  </si>
  <si>
    <t>Data</t>
  </si>
  <si>
    <t>Ziua</t>
  </si>
  <si>
    <t>Sărbătoarea</t>
  </si>
  <si>
    <t>Cade în</t>
  </si>
  <si>
    <t>Cum o poți prelungi</t>
  </si>
  <si>
    <t>Anul Nou</t>
  </si>
  <si>
    <t>Vineri: minivacanță de 3 zile (1–3 ianuarie).</t>
  </si>
  <si>
    <t>A doua zi de Anul Nou</t>
  </si>
  <si>
    <t>Boboteaza</t>
  </si>
  <si>
    <t>Miercuri și joi libere: cu o zi de concediu vineri, 8 ianuarie, ai 5 zile (6–10 ianuarie).</t>
  </si>
  <si>
    <t>Sfântul Ioan Botezătorul</t>
  </si>
  <si>
    <t>Ziua Unirii Principatelor Române</t>
  </si>
  <si>
    <t>Vinerea Mare</t>
  </si>
  <si>
    <t>Paștele ortodox cade pe 2 mai: 30 aprilie – 3 mai sunt 4 zile libere.</t>
  </si>
  <si>
    <t>Ziua Muncii</t>
  </si>
  <si>
    <t>Cade sâmbătă, în minivacanța de Paște.</t>
  </si>
  <si>
    <t>Paștele ortodox</t>
  </si>
  <si>
    <t>A doua zi de Paște</t>
  </si>
  <si>
    <t>Cu 4 zile de concediu (4–7 mai) ai 10 zile libere (30 aprilie – 9 mai).</t>
  </si>
  <si>
    <t>Ziua Copilului</t>
  </si>
  <si>
    <t>Marți: cu o zi de concediu luni, 31 mai, ai 4 zile (29 mai – 1 iunie).</t>
  </si>
  <si>
    <t>Rusaliile</t>
  </si>
  <si>
    <t>A doua zi de Rusalii</t>
  </si>
  <si>
    <t>Luni: minivacanță de 3 zile (19–21 iunie).</t>
  </si>
  <si>
    <t>Adormirea Maicii Domnului</t>
  </si>
  <si>
    <t>Sfântul Andrei</t>
  </si>
  <si>
    <t>Marți și miercuri libere: cu o zi de concediu luni, 29 noiembrie, ai 5 zile (27 noiembrie – 1 decembrie).</t>
  </si>
  <si>
    <t>Ziua Națională a României</t>
  </si>
  <si>
    <t>Crăciunul</t>
  </si>
  <si>
    <t>Cade sâmbătă: dacă vrei vacanță, ia concediu între 27 și 31 decembrie.</t>
  </si>
  <si>
    <t>A doua zi de Crăciun</t>
  </si>
  <si>
    <t>Total sărbători legale în 2027</t>
  </si>
  <si>
    <t>Din care în zile lucrătoare (luni–vineri)</t>
  </si>
  <si>
    <t>Din care în weekend</t>
  </si>
  <si>
    <t>Zile lucrătoare în 2027</t>
  </si>
  <si>
    <t>Salariații de alt cult creștin pot avea liber de Paștele propriu (art. 139 din Codul muncii). Guvernul poate acorda zile libere suplimentare („punți”) în sectorul public, prin hotărâre.</t>
  </si>
  <si>
    <t>Punți și minivacanțe în 2027</t>
  </si>
  <si>
    <t>Zilele de concediu necesare se calculează automat (fără weekenduri și sărbători). Poți schimba datele sau adăuga propriile idei.</t>
  </si>
  <si>
    <t>Perioada</t>
  </si>
  <si>
    <t>De la</t>
  </si>
  <si>
    <t>Până la</t>
  </si>
  <si>
    <t>Zile libere consecutive</t>
  </si>
  <si>
    <t>Zile de concediu necesare</t>
  </si>
  <si>
    <t>Din care sărbători legale</t>
  </si>
  <si>
    <t>Randament (zile libere / zi de concediu)</t>
  </si>
  <si>
    <t>Boboteaza + Sf. Ioan (cu punte vineri)</t>
  </si>
  <si>
    <t>Ianuarie lung: 1–10 ianuarie</t>
  </si>
  <si>
    <t>Paștele + o săptămână de concediu</t>
  </si>
  <si>
    <t>1 Iunie (cu punte luni)</t>
  </si>
  <si>
    <t>Sf. Andrei + 1 Decembrie (cu punte luni)</t>
  </si>
  <si>
    <t>Sf. Andrei + 1 Decembrie, toată săptămâna</t>
  </si>
  <si>
    <t>Sărbătorile de iarnă</t>
  </si>
  <si>
    <t>Sărbătorile de iarnă includ 1 ianuarie 2028 (sâmbătă); zilele din 2028 nu sunt scăzute ca sărbători în acest calcul.</t>
  </si>
  <si>
    <t>Planificatorul tău de concediu 2027</t>
  </si>
  <si>
    <t>Trece perioadele în care vrei să fii liber. Modelul calculează zilele de concediu consumate (fără weekenduri și sărbători) și cât îți rămâne.</t>
  </si>
  <si>
    <t>Zile de concediu de odihnă pe 2027:</t>
  </si>
  <si>
    <t>Zile rămase din 2026 (dacă e cazul):</t>
  </si>
  <si>
    <t>Perioada / motiv</t>
  </si>
  <si>
    <t>Zile libere în total</t>
  </si>
  <si>
    <t>Zile de concediu consumate</t>
  </si>
  <si>
    <t>Verificare</t>
  </si>
  <si>
    <t>Punte Boboteaza</t>
  </si>
  <si>
    <t>Paște + o săptămână</t>
  </si>
  <si>
    <t>Punte 1 Iunie</t>
  </si>
  <si>
    <t>Vacanța de vară</t>
  </si>
  <si>
    <t>Punte Sf. Andrei</t>
  </si>
  <si>
    <t>Între sărbători</t>
  </si>
  <si>
    <t>Zile de concediu disponibile</t>
  </si>
  <si>
    <t>Zile de concediu planificate</t>
  </si>
  <si>
    <t>Zile rămase</t>
  </si>
  <si>
    <t>Zile libere în total în perioadele planificate</t>
  </si>
  <si>
    <t>Codul muncii: minimum 20 de zile lucrătoare de concediu de odihnă pe an (art. 145); programarea concediilor se face de regulă până la sfârșitul anului anterior (art. 148).</t>
  </si>
  <si>
    <t>Zile și ore lucrătoare în 2027</t>
  </si>
  <si>
    <t>Pentru pontaj, normă și calculul salariilor: zilele lucrătoare din fiecare lună, fără weekenduri și sărbători legale.</t>
  </si>
  <si>
    <t>Luna</t>
  </si>
  <si>
    <t>Zile calendaristice</t>
  </si>
  <si>
    <t>Zile de weekend</t>
  </si>
  <si>
    <t>Sărbători în zile lucrătoare</t>
  </si>
  <si>
    <t>Zile lucrătoare</t>
  </si>
  <si>
    <t>Ore lucrătoare (8 h/zi)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</si>
  <si>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</si>
  <si>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</si>
  <si>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</si>
  <si>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</si>
  <si>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</si>
  <si>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</si>
  <si>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</si>
  <si>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</si>
  <si>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</si>
  <si>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</si>
  <si>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</si>
  <si>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</si>
  <si>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 2027</t>
  </si>
  <si>
    <t>Zile libere 2027: sărbătorile legale și minivacanțele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</si>
  <si>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</si>
  <si>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</si>
  <si>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modelexcel.ro/zile-libere-2027/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</si>
</sst>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B7791F"/>
      <name val="Calibri"/>
      <family val="2"/>
    </font>
    <font>
      <i/>
      <sz val="11"/>
      <color rgb="FF5D6B64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5D6B64"/>
      <name val="Calibri"/>
      <family val="2"/>
    </font>
    <font>
      <sz val="11"/>
      <color rgb="FFB4322A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7791F"/>
        <bgColor indexed="64"/>
      </patternFill>
    </fill>
    <fill>
      <patternFill patternType="solid">
        <fgColor rgb="FFFDF3E1"/>
        <bgColor indexed="64"/>
      </patternFill>
    </fill>
    <fill>
      <patternFill patternType="solid">
        <fgColor rgb="FFFFFBF5"/>
        <bgColor indexed="64"/>
      </patternFill>
    </fill>
  </fills>
  <borders count="2">
    <border>
      <left/>
      <right/>
      <top/>
      <bottom/>
      <diagonal/>
    </border>
    <border>
      <left style="thin">
        <color rgb="FFE0DCD3"/>
      </left>
      <right style="thin">
        <color rgb="FFE0DCD3"/>
      </right>
      <top style="thin">
        <color rgb="FFE0DCD3"/>
      </top>
      <bottom style="thin">
        <color rgb="FFE0DCD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4" borderId="1" xfId="0" applyFont="1" applyFill="1" applyBorder="1"/>
    <xf numFmtId="14" fontId="1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7" fillId="0" borderId="1" xfId="0" applyFont="1" applyBorder="1"/>
    <xf numFmtId="0" fontId="1" fillId="0" borderId="1" xfId="0" applyFont="1" applyBorder="1"/>
    <xf numFmtId="0" fontId="4" fillId="3" borderId="1" xfId="0" applyFont="1" applyFill="1" applyBorder="1"/>
    <xf numFmtId="0" fontId="1" fillId="3" borderId="1" xfId="0" applyFont="1" applyFill="1" applyBorder="1"/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b/>
        <i val="0"/>
        <color rgb="FFB7791F"/>
      </font>
    </dxf>
    <dxf>
      <font>
        <color rgb="FFFFFFFF"/>
      </font>
      <fill>
        <patternFill>
          <bgColor rgb="FFB4322A"/>
        </patternFill>
      </fill>
    </dxf>
    <dxf>
      <font>
        <b/>
        <i val="0"/>
        <color rgb="FF327D2E"/>
      </font>
      <fill>
        <patternFill>
          <bgColor rgb="FFC6EFCF"/>
        </patternFill>
      </fill>
    </dxf>
    <dxf>
      <font>
        <b/>
        <i val="0"/>
      </font>
      <fill>
        <patternFill>
          <bgColor rgb="FFFDF3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zile-libere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FAE4-D6F3-4B3A-B7B8-152CFFEC4181}">
  <sheetPr>
    <pageSetUpPr fitToPage="1"/>
  </sheetPr>
  <dimension ref="B1:ZZ1000"/>
  <sheetViews>
    <sheetView showGridLines="0" tabSelected="1" workbookViewId="0"/>
  </sheetViews>
  <sheetFormatPr baseColWidth="10" defaultRowHeight="15" x14ac:dyDescent="0.25"/>
  <cols>
    <col min="1" max="1" width="2.7109375" style="1" customWidth="1"/>
    <col min="2" max="2" width="5.7109375" style="1" customWidth="1"/>
    <col min="3" max="3" width="12.7109375" style="1" customWidth="1"/>
    <col min="4" max="4" width="11.7109375" style="1" customWidth="1"/>
    <col min="5" max="5" width="32.7109375" style="1" customWidth="1"/>
    <col min="6" max="6" width="15.7109375" style="1" customWidth="1"/>
    <col min="7" max="7" width="62.7109375" style="1" customWidth="1"/>
    <col min="8" max="16384" width="11.42578125" style="1"/>
  </cols>
  <sheetData>
    <row r="1" spans="2:7" ht="23.25" x14ac:dyDescent="0.35">
      <c r="B1" s="2" t="s">
        <v>0</v>
      </c>
    </row>
    <row r="2" spans="2:7" x14ac:dyDescent="0.25">
      <c r="B2" s="3" t="s">
        <v>1</v>
      </c>
    </row>
    <row r="4" spans="2:7" ht="27.95" customHeight="1" x14ac:dyDescent="0.25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2:7" x14ac:dyDescent="0.25">
      <c r="B5" s="6">
        <v>1</v>
      </c>
      <c r="C5" s="7">
        <f>DATE(2027,1,1)</f>
        <v>46388</v>
      </c>
      <c r="D5" s="6" t="str">
        <f t="shared" ref="D5:D21" si="0">CHOOSE(WEEKDAY(C5,2),"luni","marți","miercuri","joi","vineri","sâmbătă","duminică")</f>
        <v>vineri</v>
      </c>
      <c r="E5" s="8" t="s">
        <v>8</v>
      </c>
      <c r="F5" s="6" t="str">
        <f t="shared" ref="F5:F21" si="1">IF(WEEKDAY(C5,2)&gt;5,"weekend","zi lucrătoare")</f>
        <v>zi lucrătoare</v>
      </c>
      <c r="G5" s="9" t="s">
        <v>9</v>
      </c>
    </row>
    <row r="6" spans="2:7" x14ac:dyDescent="0.25">
      <c r="B6" s="6">
        <v>2</v>
      </c>
      <c r="C6" s="7">
        <f>DATE(2027,1,2)</f>
        <v>46389</v>
      </c>
      <c r="D6" s="6" t="str">
        <f t="shared" si="0"/>
        <v>sâmbătă</v>
      </c>
      <c r="E6" s="8" t="s">
        <v>10</v>
      </c>
      <c r="F6" s="6" t="str">
        <f t="shared" si="1"/>
        <v>weekend</v>
      </c>
      <c r="G6" s="9"/>
    </row>
    <row r="7" spans="2:7" ht="30" x14ac:dyDescent="0.25">
      <c r="B7" s="6">
        <v>3</v>
      </c>
      <c r="C7" s="7">
        <f>DATE(2027,1,6)</f>
        <v>46393</v>
      </c>
      <c r="D7" s="6" t="str">
        <f t="shared" si="0"/>
        <v>miercuri</v>
      </c>
      <c r="E7" s="8" t="s">
        <v>11</v>
      </c>
      <c r="F7" s="6" t="str">
        <f t="shared" si="1"/>
        <v>zi lucrătoare</v>
      </c>
      <c r="G7" s="9" t="s">
        <v>12</v>
      </c>
    </row>
    <row r="8" spans="2:7" x14ac:dyDescent="0.25">
      <c r="B8" s="6">
        <v>4</v>
      </c>
      <c r="C8" s="7">
        <f>DATE(2027,1,7)</f>
        <v>46394</v>
      </c>
      <c r="D8" s="6" t="str">
        <f t="shared" si="0"/>
        <v>joi</v>
      </c>
      <c r="E8" s="8" t="s">
        <v>13</v>
      </c>
      <c r="F8" s="6" t="str">
        <f t="shared" si="1"/>
        <v>zi lucrătoare</v>
      </c>
      <c r="G8" s="9"/>
    </row>
    <row r="9" spans="2:7" x14ac:dyDescent="0.25">
      <c r="B9" s="6">
        <v>5</v>
      </c>
      <c r="C9" s="7">
        <f>DATE(2027,1,24)</f>
        <v>46411</v>
      </c>
      <c r="D9" s="6" t="str">
        <f t="shared" si="0"/>
        <v>duminică</v>
      </c>
      <c r="E9" s="8" t="s">
        <v>14</v>
      </c>
      <c r="F9" s="6" t="str">
        <f t="shared" si="1"/>
        <v>weekend</v>
      </c>
      <c r="G9" s="9"/>
    </row>
    <row r="10" spans="2:7" x14ac:dyDescent="0.25">
      <c r="B10" s="6">
        <v>6</v>
      </c>
      <c r="C10" s="7">
        <f>DATE(2027,4,30)</f>
        <v>46507</v>
      </c>
      <c r="D10" s="6" t="str">
        <f t="shared" si="0"/>
        <v>vineri</v>
      </c>
      <c r="E10" s="8" t="s">
        <v>15</v>
      </c>
      <c r="F10" s="6" t="str">
        <f t="shared" si="1"/>
        <v>zi lucrătoare</v>
      </c>
      <c r="G10" s="9" t="s">
        <v>16</v>
      </c>
    </row>
    <row r="11" spans="2:7" x14ac:dyDescent="0.25">
      <c r="B11" s="6">
        <v>7</v>
      </c>
      <c r="C11" s="7">
        <f>DATE(2027,5,1)</f>
        <v>46508</v>
      </c>
      <c r="D11" s="6" t="str">
        <f t="shared" si="0"/>
        <v>sâmbătă</v>
      </c>
      <c r="E11" s="8" t="s">
        <v>17</v>
      </c>
      <c r="F11" s="6" t="str">
        <f t="shared" si="1"/>
        <v>weekend</v>
      </c>
      <c r="G11" s="9" t="s">
        <v>18</v>
      </c>
    </row>
    <row r="12" spans="2:7" x14ac:dyDescent="0.25">
      <c r="B12" s="6">
        <v>8</v>
      </c>
      <c r="C12" s="7">
        <f>DATE(2027,5,2)</f>
        <v>46509</v>
      </c>
      <c r="D12" s="6" t="str">
        <f t="shared" si="0"/>
        <v>duminică</v>
      </c>
      <c r="E12" s="8" t="s">
        <v>19</v>
      </c>
      <c r="F12" s="6" t="str">
        <f t="shared" si="1"/>
        <v>weekend</v>
      </c>
      <c r="G12" s="9"/>
    </row>
    <row r="13" spans="2:7" x14ac:dyDescent="0.25">
      <c r="B13" s="6">
        <v>9</v>
      </c>
      <c r="C13" s="7">
        <f>DATE(2027,5,3)</f>
        <v>46510</v>
      </c>
      <c r="D13" s="6" t="str">
        <f t="shared" si="0"/>
        <v>luni</v>
      </c>
      <c r="E13" s="8" t="s">
        <v>20</v>
      </c>
      <c r="F13" s="6" t="str">
        <f t="shared" si="1"/>
        <v>zi lucrătoare</v>
      </c>
      <c r="G13" s="9" t="s">
        <v>21</v>
      </c>
    </row>
    <row r="14" spans="2:7" x14ac:dyDescent="0.25">
      <c r="B14" s="6">
        <v>10</v>
      </c>
      <c r="C14" s="7">
        <f>DATE(2027,6,1)</f>
        <v>46539</v>
      </c>
      <c r="D14" s="6" t="str">
        <f t="shared" si="0"/>
        <v>marți</v>
      </c>
      <c r="E14" s="8" t="s">
        <v>22</v>
      </c>
      <c r="F14" s="6" t="str">
        <f t="shared" si="1"/>
        <v>zi lucrătoare</v>
      </c>
      <c r="G14" s="9" t="s">
        <v>23</v>
      </c>
    </row>
    <row r="15" spans="2:7" x14ac:dyDescent="0.25">
      <c r="B15" s="6">
        <v>11</v>
      </c>
      <c r="C15" s="7">
        <f>DATE(2027,6,20)</f>
        <v>46558</v>
      </c>
      <c r="D15" s="6" t="str">
        <f t="shared" si="0"/>
        <v>duminică</v>
      </c>
      <c r="E15" s="8" t="s">
        <v>24</v>
      </c>
      <c r="F15" s="6" t="str">
        <f t="shared" si="1"/>
        <v>weekend</v>
      </c>
      <c r="G15" s="9"/>
    </row>
    <row r="16" spans="2:7" x14ac:dyDescent="0.25">
      <c r="B16" s="6">
        <v>12</v>
      </c>
      <c r="C16" s="7">
        <f>DATE(2027,6,21)</f>
        <v>46559</v>
      </c>
      <c r="D16" s="6" t="str">
        <f t="shared" si="0"/>
        <v>luni</v>
      </c>
      <c r="E16" s="8" t="s">
        <v>25</v>
      </c>
      <c r="F16" s="6" t="str">
        <f t="shared" si="1"/>
        <v>zi lucrătoare</v>
      </c>
      <c r="G16" s="9" t="s">
        <v>26</v>
      </c>
    </row>
    <row r="17" spans="2:7" x14ac:dyDescent="0.25">
      <c r="B17" s="6">
        <v>13</v>
      </c>
      <c r="C17" s="7">
        <f>DATE(2027,8,15)</f>
        <v>46614</v>
      </c>
      <c r="D17" s="6" t="str">
        <f t="shared" si="0"/>
        <v>duminică</v>
      </c>
      <c r="E17" s="8" t="s">
        <v>27</v>
      </c>
      <c r="F17" s="6" t="str">
        <f t="shared" si="1"/>
        <v>weekend</v>
      </c>
      <c r="G17" s="9"/>
    </row>
    <row r="18" spans="2:7" ht="30" x14ac:dyDescent="0.25">
      <c r="B18" s="6">
        <v>14</v>
      </c>
      <c r="C18" s="7">
        <f>DATE(2027,11,30)</f>
        <v>46721</v>
      </c>
      <c r="D18" s="6" t="str">
        <f t="shared" si="0"/>
        <v>marți</v>
      </c>
      <c r="E18" s="8" t="s">
        <v>28</v>
      </c>
      <c r="F18" s="6" t="str">
        <f t="shared" si="1"/>
        <v>zi lucrătoare</v>
      </c>
      <c r="G18" s="9" t="s">
        <v>29</v>
      </c>
    </row>
    <row r="19" spans="2:7" x14ac:dyDescent="0.25">
      <c r="B19" s="6">
        <v>15</v>
      </c>
      <c r="C19" s="7">
        <f>DATE(2027,12,1)</f>
        <v>46722</v>
      </c>
      <c r="D19" s="6" t="str">
        <f t="shared" si="0"/>
        <v>miercuri</v>
      </c>
      <c r="E19" s="8" t="s">
        <v>30</v>
      </c>
      <c r="F19" s="6" t="str">
        <f t="shared" si="1"/>
        <v>zi lucrătoare</v>
      </c>
      <c r="G19" s="9"/>
    </row>
    <row r="20" spans="2:7" ht="30" x14ac:dyDescent="0.25">
      <c r="B20" s="6">
        <v>16</v>
      </c>
      <c r="C20" s="7">
        <f>DATE(2027,12,25)</f>
        <v>46746</v>
      </c>
      <c r="D20" s="6" t="str">
        <f t="shared" si="0"/>
        <v>sâmbătă</v>
      </c>
      <c r="E20" s="8" t="s">
        <v>31</v>
      </c>
      <c r="F20" s="6" t="str">
        <f t="shared" si="1"/>
        <v>weekend</v>
      </c>
      <c r="G20" s="9" t="s">
        <v>32</v>
      </c>
    </row>
    <row r="21" spans="2:7" x14ac:dyDescent="0.25">
      <c r="B21" s="6">
        <v>17</v>
      </c>
      <c r="C21" s="7">
        <f>DATE(2027,12,26)</f>
        <v>46747</v>
      </c>
      <c r="D21" s="6" t="str">
        <f t="shared" si="0"/>
        <v>duminică</v>
      </c>
      <c r="E21" s="8" t="s">
        <v>33</v>
      </c>
      <c r="F21" s="6" t="str">
        <f t="shared" si="1"/>
        <v>weekend</v>
      </c>
      <c r="G21" s="9"/>
    </row>
    <row r="23" spans="2:7" x14ac:dyDescent="0.25">
      <c r="C23" s="21" t="s">
        <v>34</v>
      </c>
      <c r="D23" s="21"/>
      <c r="E23" s="21"/>
      <c r="F23" s="11">
        <f>COUNT(C5:C21)</f>
        <v>17</v>
      </c>
    </row>
    <row r="24" spans="2:7" x14ac:dyDescent="0.25">
      <c r="C24" s="21" t="s">
        <v>35</v>
      </c>
      <c r="D24" s="21"/>
      <c r="E24" s="21"/>
      <c r="F24" s="11">
        <f>SUMPRODUCT(--(WEEKDAY(C5:C21,2)&lt;=5))</f>
        <v>9</v>
      </c>
    </row>
    <row r="25" spans="2:7" x14ac:dyDescent="0.25">
      <c r="C25" s="21" t="s">
        <v>36</v>
      </c>
      <c r="D25" s="21"/>
      <c r="E25" s="21"/>
      <c r="F25" s="11">
        <f>SUMPRODUCT(--(WEEKDAY(C5:C21,2)&gt;5))</f>
        <v>8</v>
      </c>
    </row>
    <row r="26" spans="2:7" x14ac:dyDescent="0.25">
      <c r="C26" s="21" t="s">
        <v>37</v>
      </c>
      <c r="D26" s="21"/>
      <c r="E26" s="21"/>
      <c r="F26" s="11">
        <f>NETWORKDAYS(DATE(2027,1,1),DATE(2027,12,31),Sarbatori2027)</f>
        <v>252</v>
      </c>
    </row>
    <row r="28" spans="2:7" x14ac:dyDescent="0.25">
      <c r="B28" s="3" t="s">
        <v>38</v>
      </c>
    </row>
    <row r="1000" spans="702:702" x14ac:dyDescent="0.25">
      <c r="ZZ1000"/>
    </row>
  </sheetData>
  <mergeCells count="4">
    <mergeCell ref="C23:E23"/>
    <mergeCell ref="C24:E24"/>
    <mergeCell ref="C25:E25"/>
    <mergeCell ref="C26:E26"/>
  </mergeCells>
  <conditionalFormatting sqref="B5:G21">
    <cfRule type="expression" dxfId="3" priority="1" stopIfTrue="1">
      <formula>WEEKDAY($C5,2)&lt;=5</formula>
    </cfRule>
  </conditionalFormatting>
  <pageMargins left="0.7" right="0.7" top="0.75" bottom="0.75" header="0.3" footer="0.3"/>
  <pageSetup scale="39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7B0F-799B-49E3-BCBC-7C37F8C6C88E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42.7109375" style="1" customWidth="1"/>
    <col min="3" max="4" width="12.7109375" style="1" customWidth="1"/>
    <col min="5" max="7" width="13.7109375" style="1" customWidth="1"/>
    <col min="8" max="8" width="16.7109375" style="1" customWidth="1"/>
    <col min="9" max="16384" width="11.42578125" style="1"/>
  </cols>
  <sheetData>
    <row r="1" spans="2:8" ht="23.25" x14ac:dyDescent="0.35">
      <c r="B1" s="2" t="s">
        <v>39</v>
      </c>
    </row>
    <row r="2" spans="2:8" x14ac:dyDescent="0.25">
      <c r="B2" s="3" t="s">
        <v>40</v>
      </c>
    </row>
    <row r="4" spans="2:8" ht="44.1" customHeight="1" x14ac:dyDescent="0.25"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</row>
    <row r="5" spans="2:8" x14ac:dyDescent="0.25">
      <c r="B5" s="12" t="s">
        <v>8</v>
      </c>
      <c r="C5" s="13">
        <f>DATE(2027,1,1)</f>
        <v>46388</v>
      </c>
      <c r="D5" s="13">
        <f>DATE(2027,1,3)</f>
        <v>46390</v>
      </c>
      <c r="E5" s="14">
        <f t="shared" ref="E5:E24" si="0">IF(OR(C5="",D5=""),"",D5-C5+1)</f>
        <v>3</v>
      </c>
      <c r="F5" s="14">
        <f t="shared" ref="F5:F24" si="1">IF(OR(C5="",D5=""),"",NETWORKDAYS(C5,D5,Sarbatori2027))</f>
        <v>0</v>
      </c>
      <c r="G5" s="15">
        <f t="shared" ref="G5:G24" si="2">IF(OR(C5="",D5=""),"",COUNTIFS(Sarbatori2027,"&gt;="&amp;C5,Sarbatori2027,"&lt;="&amp;D5))</f>
        <v>2</v>
      </c>
      <c r="H5" s="16" t="str">
        <f t="shared" ref="H5:H24" si="3">IF(OR(E5="",N(F5)=0),IF(E5="","","fără concediu"),E5/F5)</f>
        <v>fără concediu</v>
      </c>
    </row>
    <row r="6" spans="2:8" x14ac:dyDescent="0.25">
      <c r="B6" s="12" t="s">
        <v>48</v>
      </c>
      <c r="C6" s="13">
        <f>DATE(2027,1,6)</f>
        <v>46393</v>
      </c>
      <c r="D6" s="13">
        <f>DATE(2027,1,10)</f>
        <v>46397</v>
      </c>
      <c r="E6" s="14">
        <f t="shared" si="0"/>
        <v>5</v>
      </c>
      <c r="F6" s="14">
        <f t="shared" si="1"/>
        <v>1</v>
      </c>
      <c r="G6" s="15">
        <f t="shared" si="2"/>
        <v>2</v>
      </c>
      <c r="H6" s="16">
        <f t="shared" si="3"/>
        <v>5</v>
      </c>
    </row>
    <row r="7" spans="2:8" x14ac:dyDescent="0.25">
      <c r="B7" s="12" t="s">
        <v>49</v>
      </c>
      <c r="C7" s="13">
        <f>DATE(2027,1,1)</f>
        <v>46388</v>
      </c>
      <c r="D7" s="13">
        <f>DATE(2027,1,10)</f>
        <v>46397</v>
      </c>
      <c r="E7" s="14">
        <f t="shared" si="0"/>
        <v>10</v>
      </c>
      <c r="F7" s="14">
        <f t="shared" si="1"/>
        <v>3</v>
      </c>
      <c r="G7" s="15">
        <f t="shared" si="2"/>
        <v>4</v>
      </c>
      <c r="H7" s="16">
        <f t="shared" si="3"/>
        <v>3.3333333333333335</v>
      </c>
    </row>
    <row r="8" spans="2:8" x14ac:dyDescent="0.25">
      <c r="B8" s="12" t="s">
        <v>19</v>
      </c>
      <c r="C8" s="13">
        <f>DATE(2027,4,30)</f>
        <v>46507</v>
      </c>
      <c r="D8" s="13">
        <f>DATE(2027,5,3)</f>
        <v>46510</v>
      </c>
      <c r="E8" s="14">
        <f t="shared" si="0"/>
        <v>4</v>
      </c>
      <c r="F8" s="14">
        <f t="shared" si="1"/>
        <v>0</v>
      </c>
      <c r="G8" s="15">
        <f t="shared" si="2"/>
        <v>4</v>
      </c>
      <c r="H8" s="16" t="str">
        <f t="shared" si="3"/>
        <v>fără concediu</v>
      </c>
    </row>
    <row r="9" spans="2:8" x14ac:dyDescent="0.25">
      <c r="B9" s="12" t="s">
        <v>50</v>
      </c>
      <c r="C9" s="13">
        <f>DATE(2027,4,30)</f>
        <v>46507</v>
      </c>
      <c r="D9" s="13">
        <f>DATE(2027,5,9)</f>
        <v>46516</v>
      </c>
      <c r="E9" s="14">
        <f t="shared" si="0"/>
        <v>10</v>
      </c>
      <c r="F9" s="14">
        <f t="shared" si="1"/>
        <v>4</v>
      </c>
      <c r="G9" s="15">
        <f t="shared" si="2"/>
        <v>4</v>
      </c>
      <c r="H9" s="16">
        <f t="shared" si="3"/>
        <v>2.5</v>
      </c>
    </row>
    <row r="10" spans="2:8" x14ac:dyDescent="0.25">
      <c r="B10" s="12" t="s">
        <v>51</v>
      </c>
      <c r="C10" s="13">
        <f>DATE(2027,5,29)</f>
        <v>46536</v>
      </c>
      <c r="D10" s="13">
        <f>DATE(2027,6,1)</f>
        <v>46539</v>
      </c>
      <c r="E10" s="14">
        <f t="shared" si="0"/>
        <v>4</v>
      </c>
      <c r="F10" s="14">
        <f t="shared" si="1"/>
        <v>1</v>
      </c>
      <c r="G10" s="15">
        <f t="shared" si="2"/>
        <v>1</v>
      </c>
      <c r="H10" s="16">
        <f t="shared" si="3"/>
        <v>4</v>
      </c>
    </row>
    <row r="11" spans="2:8" x14ac:dyDescent="0.25">
      <c r="B11" s="12" t="s">
        <v>24</v>
      </c>
      <c r="C11" s="13">
        <f>DATE(2027,6,19)</f>
        <v>46557</v>
      </c>
      <c r="D11" s="13">
        <f>DATE(2027,6,21)</f>
        <v>46559</v>
      </c>
      <c r="E11" s="14">
        <f t="shared" si="0"/>
        <v>3</v>
      </c>
      <c r="F11" s="14">
        <f t="shared" si="1"/>
        <v>0</v>
      </c>
      <c r="G11" s="15">
        <f t="shared" si="2"/>
        <v>2</v>
      </c>
      <c r="H11" s="16" t="str">
        <f t="shared" si="3"/>
        <v>fără concediu</v>
      </c>
    </row>
    <row r="12" spans="2:8" x14ac:dyDescent="0.25">
      <c r="B12" s="12" t="s">
        <v>52</v>
      </c>
      <c r="C12" s="13">
        <f>DATE(2027,11,27)</f>
        <v>46718</v>
      </c>
      <c r="D12" s="13">
        <f>DATE(2027,12,1)</f>
        <v>46722</v>
      </c>
      <c r="E12" s="14">
        <f t="shared" si="0"/>
        <v>5</v>
      </c>
      <c r="F12" s="14">
        <f t="shared" si="1"/>
        <v>1</v>
      </c>
      <c r="G12" s="15">
        <f t="shared" si="2"/>
        <v>2</v>
      </c>
      <c r="H12" s="16">
        <f t="shared" si="3"/>
        <v>5</v>
      </c>
    </row>
    <row r="13" spans="2:8" x14ac:dyDescent="0.25">
      <c r="B13" s="12" t="s">
        <v>53</v>
      </c>
      <c r="C13" s="13">
        <f>DATE(2027,11,27)</f>
        <v>46718</v>
      </c>
      <c r="D13" s="13">
        <f>DATE(2027,12,5)</f>
        <v>46726</v>
      </c>
      <c r="E13" s="14">
        <f t="shared" si="0"/>
        <v>9</v>
      </c>
      <c r="F13" s="14">
        <f t="shared" si="1"/>
        <v>3</v>
      </c>
      <c r="G13" s="15">
        <f t="shared" si="2"/>
        <v>2</v>
      </c>
      <c r="H13" s="16">
        <f t="shared" si="3"/>
        <v>3</v>
      </c>
    </row>
    <row r="14" spans="2:8" x14ac:dyDescent="0.25">
      <c r="B14" s="12" t="s">
        <v>54</v>
      </c>
      <c r="C14" s="13">
        <f>DATE(2027,12,24)</f>
        <v>46745</v>
      </c>
      <c r="D14" s="13">
        <f>DATE(2028,1,2)</f>
        <v>46754</v>
      </c>
      <c r="E14" s="14">
        <f t="shared" si="0"/>
        <v>10</v>
      </c>
      <c r="F14" s="14">
        <f t="shared" si="1"/>
        <v>6</v>
      </c>
      <c r="G14" s="15">
        <f t="shared" si="2"/>
        <v>2</v>
      </c>
      <c r="H14" s="16">
        <f t="shared" si="3"/>
        <v>1.6666666666666667</v>
      </c>
    </row>
    <row r="15" spans="2:8" x14ac:dyDescent="0.25">
      <c r="B15" s="12"/>
      <c r="C15" s="13"/>
      <c r="D15" s="13"/>
      <c r="E15" s="14" t="str">
        <f t="shared" si="0"/>
        <v/>
      </c>
      <c r="F15" s="14" t="str">
        <f t="shared" si="1"/>
        <v/>
      </c>
      <c r="G15" s="15" t="str">
        <f t="shared" si="2"/>
        <v/>
      </c>
      <c r="H15" s="16" t="str">
        <f t="shared" si="3"/>
        <v/>
      </c>
    </row>
    <row r="16" spans="2:8" x14ac:dyDescent="0.25">
      <c r="B16" s="12"/>
      <c r="C16" s="13"/>
      <c r="D16" s="13"/>
      <c r="E16" s="14" t="str">
        <f t="shared" si="0"/>
        <v/>
      </c>
      <c r="F16" s="14" t="str">
        <f t="shared" si="1"/>
        <v/>
      </c>
      <c r="G16" s="15" t="str">
        <f t="shared" si="2"/>
        <v/>
      </c>
      <c r="H16" s="16" t="str">
        <f t="shared" si="3"/>
        <v/>
      </c>
    </row>
    <row r="17" spans="2:8" x14ac:dyDescent="0.25">
      <c r="B17" s="12"/>
      <c r="C17" s="13"/>
      <c r="D17" s="13"/>
      <c r="E17" s="14" t="str">
        <f t="shared" si="0"/>
        <v/>
      </c>
      <c r="F17" s="14" t="str">
        <f t="shared" si="1"/>
        <v/>
      </c>
      <c r="G17" s="15" t="str">
        <f t="shared" si="2"/>
        <v/>
      </c>
      <c r="H17" s="16" t="str">
        <f t="shared" si="3"/>
        <v/>
      </c>
    </row>
    <row r="18" spans="2:8" x14ac:dyDescent="0.25">
      <c r="B18" s="12"/>
      <c r="C18" s="13"/>
      <c r="D18" s="13"/>
      <c r="E18" s="14" t="str">
        <f t="shared" si="0"/>
        <v/>
      </c>
      <c r="F18" s="14" t="str">
        <f t="shared" si="1"/>
        <v/>
      </c>
      <c r="G18" s="15" t="str">
        <f t="shared" si="2"/>
        <v/>
      </c>
      <c r="H18" s="16" t="str">
        <f t="shared" si="3"/>
        <v/>
      </c>
    </row>
    <row r="19" spans="2:8" x14ac:dyDescent="0.25">
      <c r="B19" s="12"/>
      <c r="C19" s="13"/>
      <c r="D19" s="13"/>
      <c r="E19" s="14" t="str">
        <f t="shared" si="0"/>
        <v/>
      </c>
      <c r="F19" s="14" t="str">
        <f t="shared" si="1"/>
        <v/>
      </c>
      <c r="G19" s="15" t="str">
        <f t="shared" si="2"/>
        <v/>
      </c>
      <c r="H19" s="16" t="str">
        <f t="shared" si="3"/>
        <v/>
      </c>
    </row>
    <row r="20" spans="2:8" x14ac:dyDescent="0.25">
      <c r="B20" s="12"/>
      <c r="C20" s="13"/>
      <c r="D20" s="13"/>
      <c r="E20" s="14" t="str">
        <f t="shared" si="0"/>
        <v/>
      </c>
      <c r="F20" s="14" t="str">
        <f t="shared" si="1"/>
        <v/>
      </c>
      <c r="G20" s="15" t="str">
        <f t="shared" si="2"/>
        <v/>
      </c>
      <c r="H20" s="16" t="str">
        <f t="shared" si="3"/>
        <v/>
      </c>
    </row>
    <row r="21" spans="2:8" x14ac:dyDescent="0.25">
      <c r="B21" s="12"/>
      <c r="C21" s="13"/>
      <c r="D21" s="13"/>
      <c r="E21" s="14" t="str">
        <f t="shared" si="0"/>
        <v/>
      </c>
      <c r="F21" s="14" t="str">
        <f t="shared" si="1"/>
        <v/>
      </c>
      <c r="G21" s="15" t="str">
        <f t="shared" si="2"/>
        <v/>
      </c>
      <c r="H21" s="16" t="str">
        <f t="shared" si="3"/>
        <v/>
      </c>
    </row>
    <row r="22" spans="2:8" x14ac:dyDescent="0.25">
      <c r="B22" s="12"/>
      <c r="C22" s="13"/>
      <c r="D22" s="13"/>
      <c r="E22" s="14" t="str">
        <f t="shared" si="0"/>
        <v/>
      </c>
      <c r="F22" s="14" t="str">
        <f t="shared" si="1"/>
        <v/>
      </c>
      <c r="G22" s="15" t="str">
        <f t="shared" si="2"/>
        <v/>
      </c>
      <c r="H22" s="16" t="str">
        <f t="shared" si="3"/>
        <v/>
      </c>
    </row>
    <row r="23" spans="2:8" x14ac:dyDescent="0.25">
      <c r="B23" s="12"/>
      <c r="C23" s="13"/>
      <c r="D23" s="13"/>
      <c r="E23" s="14" t="str">
        <f t="shared" si="0"/>
        <v/>
      </c>
      <c r="F23" s="14" t="str">
        <f t="shared" si="1"/>
        <v/>
      </c>
      <c r="G23" s="15" t="str">
        <f t="shared" si="2"/>
        <v/>
      </c>
      <c r="H23" s="16" t="str">
        <f t="shared" si="3"/>
        <v/>
      </c>
    </row>
    <row r="24" spans="2:8" x14ac:dyDescent="0.25">
      <c r="B24" s="12"/>
      <c r="C24" s="13"/>
      <c r="D24" s="13"/>
      <c r="E24" s="14" t="str">
        <f t="shared" si="0"/>
        <v/>
      </c>
      <c r="F24" s="14" t="str">
        <f t="shared" si="1"/>
        <v/>
      </c>
      <c r="G24" s="15" t="str">
        <f t="shared" si="2"/>
        <v/>
      </c>
      <c r="H24" s="16" t="str">
        <f t="shared" si="3"/>
        <v/>
      </c>
    </row>
    <row r="26" spans="2:8" x14ac:dyDescent="0.25">
      <c r="B26" s="3" t="s">
        <v>55</v>
      </c>
    </row>
    <row r="1000" spans="702:702" x14ac:dyDescent="0.25">
      <c r="ZZ1000"/>
    </row>
  </sheetData>
  <conditionalFormatting sqref="H5:H24">
    <cfRule type="expression" dxfId="2" priority="1" stopIfTrue="1">
      <formula>OR($H5="fără concediu",AND(ISNUMBER($H5),$H5&gt;=2.5))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3B833-D011-4F4F-9BC7-2FA253E5E13E}">
  <dimension ref="B1:G34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30.7109375" style="1" customWidth="1"/>
    <col min="3" max="4" width="12.7109375" style="1" customWidth="1"/>
    <col min="5" max="5" width="13.7109375" style="1" customWidth="1"/>
    <col min="6" max="6" width="14.7109375" style="1" customWidth="1"/>
    <col min="7" max="7" width="40.7109375" style="1" customWidth="1"/>
    <col min="8" max="16384" width="11.42578125" style="1"/>
  </cols>
  <sheetData>
    <row r="1" spans="2:7" ht="23.25" x14ac:dyDescent="0.35">
      <c r="B1" s="2" t="s">
        <v>56</v>
      </c>
    </row>
    <row r="2" spans="2:7" x14ac:dyDescent="0.25">
      <c r="B2" s="3" t="s">
        <v>57</v>
      </c>
    </row>
    <row r="4" spans="2:7" x14ac:dyDescent="0.25">
      <c r="B4" s="4" t="s">
        <v>58</v>
      </c>
      <c r="E4" s="10">
        <v>21</v>
      </c>
    </row>
    <row r="5" spans="2:7" x14ac:dyDescent="0.25">
      <c r="B5" s="4" t="s">
        <v>59</v>
      </c>
      <c r="E5" s="17">
        <v>2</v>
      </c>
    </row>
    <row r="7" spans="2:7" ht="30" customHeight="1" x14ac:dyDescent="0.25">
      <c r="B7" s="5" t="s">
        <v>60</v>
      </c>
      <c r="C7" s="5" t="s">
        <v>42</v>
      </c>
      <c r="D7" s="5" t="s">
        <v>43</v>
      </c>
      <c r="E7" s="5" t="s">
        <v>61</v>
      </c>
      <c r="F7" s="5" t="s">
        <v>62</v>
      </c>
      <c r="G7" s="5" t="s">
        <v>63</v>
      </c>
    </row>
    <row r="8" spans="2:7" x14ac:dyDescent="0.25">
      <c r="B8" s="12" t="s">
        <v>64</v>
      </c>
      <c r="C8" s="13">
        <f>DATE(2027,1,8)</f>
        <v>46395</v>
      </c>
      <c r="D8" s="13">
        <f>DATE(2027,1,8)</f>
        <v>46395</v>
      </c>
      <c r="E8" s="15">
        <f t="shared" ref="E8:E27" si="0">IF(OR(C8="",D8=""),"",D8-C8+1)</f>
        <v>1</v>
      </c>
      <c r="F8" s="14">
        <f t="shared" ref="F8:F27" si="1">IF(OR(C8="",D8=""),"",NETWORKDAYS(C8,D8,Sarbatori2027))</f>
        <v>1</v>
      </c>
      <c r="G8" s="18" t="str">
        <f t="shared" ref="G8:G27" si="2">IF(OR(C8="",D8=""),"",IF(D8&lt;C8,"Data de sfârșit e înaintea celei de început",IF(SUMPRODUCT(($C$8:$C$27&lt;=D8)*($D$8:$D$27&gt;=C8)*($C$8:$C$27&lt;&gt;""))&gt;1,"Se suprapune cu altă perioadă",IF(F8=0,"Nu consumă zile de concediu",""))))</f>
        <v/>
      </c>
    </row>
    <row r="9" spans="2:7" x14ac:dyDescent="0.25">
      <c r="B9" s="12" t="s">
        <v>65</v>
      </c>
      <c r="C9" s="13">
        <f>DATE(2027,5,4)</f>
        <v>46511</v>
      </c>
      <c r="D9" s="13">
        <f>DATE(2027,5,7)</f>
        <v>46514</v>
      </c>
      <c r="E9" s="15">
        <f t="shared" si="0"/>
        <v>4</v>
      </c>
      <c r="F9" s="14">
        <f t="shared" si="1"/>
        <v>4</v>
      </c>
      <c r="G9" s="18" t="str">
        <f t="shared" si="2"/>
        <v/>
      </c>
    </row>
    <row r="10" spans="2:7" x14ac:dyDescent="0.25">
      <c r="B10" s="12" t="s">
        <v>66</v>
      </c>
      <c r="C10" s="13">
        <f>DATE(2027,5,31)</f>
        <v>46538</v>
      </c>
      <c r="D10" s="13">
        <f>DATE(2027,5,31)</f>
        <v>46538</v>
      </c>
      <c r="E10" s="15">
        <f t="shared" si="0"/>
        <v>1</v>
      </c>
      <c r="F10" s="14">
        <f t="shared" si="1"/>
        <v>1</v>
      </c>
      <c r="G10" s="18" t="str">
        <f t="shared" si="2"/>
        <v/>
      </c>
    </row>
    <row r="11" spans="2:7" x14ac:dyDescent="0.25">
      <c r="B11" s="12" t="s">
        <v>67</v>
      </c>
      <c r="C11" s="13">
        <f>DATE(2027,8,9)</f>
        <v>46608</v>
      </c>
      <c r="D11" s="13">
        <f>DATE(2027,8,20)</f>
        <v>46619</v>
      </c>
      <c r="E11" s="15">
        <f t="shared" si="0"/>
        <v>12</v>
      </c>
      <c r="F11" s="14">
        <f t="shared" si="1"/>
        <v>10</v>
      </c>
      <c r="G11" s="18" t="str">
        <f t="shared" si="2"/>
        <v/>
      </c>
    </row>
    <row r="12" spans="2:7" x14ac:dyDescent="0.25">
      <c r="B12" s="12" t="s">
        <v>68</v>
      </c>
      <c r="C12" s="13">
        <f>DATE(2027,11,29)</f>
        <v>46720</v>
      </c>
      <c r="D12" s="13">
        <f>DATE(2027,11,29)</f>
        <v>46720</v>
      </c>
      <c r="E12" s="15">
        <f t="shared" si="0"/>
        <v>1</v>
      </c>
      <c r="F12" s="14">
        <f t="shared" si="1"/>
        <v>1</v>
      </c>
      <c r="G12" s="18" t="str">
        <f t="shared" si="2"/>
        <v/>
      </c>
    </row>
    <row r="13" spans="2:7" x14ac:dyDescent="0.25">
      <c r="B13" s="12" t="s">
        <v>69</v>
      </c>
      <c r="C13" s="13">
        <f>DATE(2027,12,27)</f>
        <v>46748</v>
      </c>
      <c r="D13" s="13">
        <f>DATE(2027,12,31)</f>
        <v>46752</v>
      </c>
      <c r="E13" s="15">
        <f t="shared" si="0"/>
        <v>5</v>
      </c>
      <c r="F13" s="14">
        <f t="shared" si="1"/>
        <v>5</v>
      </c>
      <c r="G13" s="18" t="str">
        <f t="shared" si="2"/>
        <v/>
      </c>
    </row>
    <row r="14" spans="2:7" x14ac:dyDescent="0.25">
      <c r="B14" s="12"/>
      <c r="C14" s="13"/>
      <c r="D14" s="13"/>
      <c r="E14" s="15" t="str">
        <f t="shared" si="0"/>
        <v/>
      </c>
      <c r="F14" s="14" t="str">
        <f t="shared" si="1"/>
        <v/>
      </c>
      <c r="G14" s="18" t="str">
        <f t="shared" si="2"/>
        <v/>
      </c>
    </row>
    <row r="15" spans="2:7" x14ac:dyDescent="0.25">
      <c r="B15" s="12"/>
      <c r="C15" s="13"/>
      <c r="D15" s="13"/>
      <c r="E15" s="15" t="str">
        <f t="shared" si="0"/>
        <v/>
      </c>
      <c r="F15" s="14" t="str">
        <f t="shared" si="1"/>
        <v/>
      </c>
      <c r="G15" s="18" t="str">
        <f t="shared" si="2"/>
        <v/>
      </c>
    </row>
    <row r="16" spans="2:7" x14ac:dyDescent="0.25">
      <c r="B16" s="12"/>
      <c r="C16" s="13"/>
      <c r="D16" s="13"/>
      <c r="E16" s="15" t="str">
        <f t="shared" si="0"/>
        <v/>
      </c>
      <c r="F16" s="14" t="str">
        <f t="shared" si="1"/>
        <v/>
      </c>
      <c r="G16" s="18" t="str">
        <f t="shared" si="2"/>
        <v/>
      </c>
    </row>
    <row r="17" spans="2:7" x14ac:dyDescent="0.25">
      <c r="B17" s="12"/>
      <c r="C17" s="13"/>
      <c r="D17" s="13"/>
      <c r="E17" s="15" t="str">
        <f t="shared" si="0"/>
        <v/>
      </c>
      <c r="F17" s="14" t="str">
        <f t="shared" si="1"/>
        <v/>
      </c>
      <c r="G17" s="18" t="str">
        <f t="shared" si="2"/>
        <v/>
      </c>
    </row>
    <row r="18" spans="2:7" x14ac:dyDescent="0.25">
      <c r="B18" s="12"/>
      <c r="C18" s="13"/>
      <c r="D18" s="13"/>
      <c r="E18" s="15" t="str">
        <f t="shared" si="0"/>
        <v/>
      </c>
      <c r="F18" s="14" t="str">
        <f t="shared" si="1"/>
        <v/>
      </c>
      <c r="G18" s="18" t="str">
        <f t="shared" si="2"/>
        <v/>
      </c>
    </row>
    <row r="19" spans="2:7" x14ac:dyDescent="0.25">
      <c r="B19" s="12"/>
      <c r="C19" s="13"/>
      <c r="D19" s="13"/>
      <c r="E19" s="15" t="str">
        <f t="shared" si="0"/>
        <v/>
      </c>
      <c r="F19" s="14" t="str">
        <f t="shared" si="1"/>
        <v/>
      </c>
      <c r="G19" s="18" t="str">
        <f t="shared" si="2"/>
        <v/>
      </c>
    </row>
    <row r="20" spans="2:7" x14ac:dyDescent="0.25">
      <c r="B20" s="12"/>
      <c r="C20" s="13"/>
      <c r="D20" s="13"/>
      <c r="E20" s="15" t="str">
        <f t="shared" si="0"/>
        <v/>
      </c>
      <c r="F20" s="14" t="str">
        <f t="shared" si="1"/>
        <v/>
      </c>
      <c r="G20" s="18" t="str">
        <f t="shared" si="2"/>
        <v/>
      </c>
    </row>
    <row r="21" spans="2:7" x14ac:dyDescent="0.25">
      <c r="B21" s="12"/>
      <c r="C21" s="13"/>
      <c r="D21" s="13"/>
      <c r="E21" s="15" t="str">
        <f t="shared" si="0"/>
        <v/>
      </c>
      <c r="F21" s="14" t="str">
        <f t="shared" si="1"/>
        <v/>
      </c>
      <c r="G21" s="18" t="str">
        <f t="shared" si="2"/>
        <v/>
      </c>
    </row>
    <row r="22" spans="2:7" x14ac:dyDescent="0.25">
      <c r="B22" s="12"/>
      <c r="C22" s="13"/>
      <c r="D22" s="13"/>
      <c r="E22" s="15" t="str">
        <f t="shared" si="0"/>
        <v/>
      </c>
      <c r="F22" s="14" t="str">
        <f t="shared" si="1"/>
        <v/>
      </c>
      <c r="G22" s="18" t="str">
        <f t="shared" si="2"/>
        <v/>
      </c>
    </row>
    <row r="23" spans="2:7" x14ac:dyDescent="0.25">
      <c r="B23" s="12"/>
      <c r="C23" s="13"/>
      <c r="D23" s="13"/>
      <c r="E23" s="15" t="str">
        <f t="shared" si="0"/>
        <v/>
      </c>
      <c r="F23" s="14" t="str">
        <f t="shared" si="1"/>
        <v/>
      </c>
      <c r="G23" s="18" t="str">
        <f t="shared" si="2"/>
        <v/>
      </c>
    </row>
    <row r="24" spans="2:7" x14ac:dyDescent="0.25">
      <c r="B24" s="12"/>
      <c r="C24" s="13"/>
      <c r="D24" s="13"/>
      <c r="E24" s="15" t="str">
        <f t="shared" si="0"/>
        <v/>
      </c>
      <c r="F24" s="14" t="str">
        <f t="shared" si="1"/>
        <v/>
      </c>
      <c r="G24" s="18" t="str">
        <f t="shared" si="2"/>
        <v/>
      </c>
    </row>
    <row r="25" spans="2:7" x14ac:dyDescent="0.25">
      <c r="B25" s="12"/>
      <c r="C25" s="13"/>
      <c r="D25" s="13"/>
      <c r="E25" s="15" t="str">
        <f t="shared" si="0"/>
        <v/>
      </c>
      <c r="F25" s="14" t="str">
        <f t="shared" si="1"/>
        <v/>
      </c>
      <c r="G25" s="18" t="str">
        <f t="shared" si="2"/>
        <v/>
      </c>
    </row>
    <row r="26" spans="2:7" x14ac:dyDescent="0.25">
      <c r="B26" s="12"/>
      <c r="C26" s="13"/>
      <c r="D26" s="13"/>
      <c r="E26" s="15" t="str">
        <f t="shared" si="0"/>
        <v/>
      </c>
      <c r="F26" s="14" t="str">
        <f t="shared" si="1"/>
        <v/>
      </c>
      <c r="G26" s="18" t="str">
        <f t="shared" si="2"/>
        <v/>
      </c>
    </row>
    <row r="27" spans="2:7" x14ac:dyDescent="0.25">
      <c r="B27" s="12"/>
      <c r="C27" s="13"/>
      <c r="D27" s="13"/>
      <c r="E27" s="15" t="str">
        <f t="shared" si="0"/>
        <v/>
      </c>
      <c r="F27" s="14" t="str">
        <f t="shared" si="1"/>
        <v/>
      </c>
      <c r="G27" s="18" t="str">
        <f t="shared" si="2"/>
        <v/>
      </c>
    </row>
    <row r="29" spans="2:7" x14ac:dyDescent="0.25">
      <c r="B29" s="21" t="s">
        <v>70</v>
      </c>
      <c r="C29" s="21"/>
      <c r="D29" s="21"/>
      <c r="E29" s="21"/>
      <c r="F29" s="11">
        <f>E4+E5</f>
        <v>23</v>
      </c>
    </row>
    <row r="30" spans="2:7" x14ac:dyDescent="0.25">
      <c r="B30" s="21" t="s">
        <v>71</v>
      </c>
      <c r="C30" s="21"/>
      <c r="D30" s="21"/>
      <c r="E30" s="21"/>
      <c r="F30" s="11">
        <f>SUM(F8:F27)</f>
        <v>22</v>
      </c>
    </row>
    <row r="31" spans="2:7" x14ac:dyDescent="0.25">
      <c r="B31" s="21" t="s">
        <v>72</v>
      </c>
      <c r="C31" s="21"/>
      <c r="D31" s="21"/>
      <c r="E31" s="21"/>
      <c r="F31" s="11">
        <f>F29-F30</f>
        <v>1</v>
      </c>
    </row>
    <row r="32" spans="2:7" x14ac:dyDescent="0.25">
      <c r="B32" s="21" t="s">
        <v>73</v>
      </c>
      <c r="C32" s="21"/>
      <c r="D32" s="21"/>
      <c r="E32" s="21"/>
      <c r="F32" s="11">
        <f>SUM(E8:E27)</f>
        <v>24</v>
      </c>
    </row>
    <row r="34" spans="2:2" x14ac:dyDescent="0.25">
      <c r="B34" s="3" t="s">
        <v>74</v>
      </c>
    </row>
  </sheetData>
  <mergeCells count="4">
    <mergeCell ref="B29:E29"/>
    <mergeCell ref="B30:E30"/>
    <mergeCell ref="B31:E31"/>
    <mergeCell ref="B32:E32"/>
  </mergeCells>
  <conditionalFormatting sqref="F31">
    <cfRule type="cellIs" dxfId="1" priority="1" stopIfTrue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3BAC-DD22-474B-8A03-E88D0D9635A5}">
  <dimension ref="B1:G17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4.7109375" style="1" customWidth="1"/>
    <col min="3" max="3" width="13.7109375" style="1" customWidth="1"/>
    <col min="4" max="4" width="12.7109375" style="1" customWidth="1"/>
    <col min="5" max="5" width="15.7109375" style="1" customWidth="1"/>
    <col min="6" max="6" width="13.7109375" style="1" customWidth="1"/>
    <col min="7" max="7" width="15.7109375" style="1" customWidth="1"/>
    <col min="8" max="16384" width="11.42578125" style="1"/>
  </cols>
  <sheetData>
    <row r="1" spans="2:7" ht="23.25" x14ac:dyDescent="0.35">
      <c r="B1" s="2" t="s">
        <v>75</v>
      </c>
    </row>
    <row r="2" spans="2:7" x14ac:dyDescent="0.25">
      <c r="B2" s="3" t="s">
        <v>76</v>
      </c>
    </row>
    <row r="4" spans="2:7" ht="30" customHeight="1" x14ac:dyDescent="0.25">
      <c r="B4" s="5" t="s">
        <v>77</v>
      </c>
      <c r="C4" s="5" t="s">
        <v>78</v>
      </c>
      <c r="D4" s="5" t="s">
        <v>79</v>
      </c>
      <c r="E4" s="5" t="s">
        <v>80</v>
      </c>
      <c r="F4" s="5" t="s">
        <v>81</v>
      </c>
      <c r="G4" s="5" t="s">
        <v>82</v>
      </c>
    </row>
    <row r="5" spans="2:7" x14ac:dyDescent="0.25">
      <c r="B5" s="19" t="s">
        <v>83</v>
      </c>
      <c r="C5" s="15">
        <f>DAY(EOMONTH(DATE(2027,1,1),0))</f>
        <v>31</v>
      </c>
      <c r="D5" s="15">
        <f>C5-NETWORKDAYS(DATE(2027,1,1),EOMONTH(DATE(2027,1,1),0))</f>
        <v>10</v>
      </c>
      <c r="E5" s="15">
        <f>NETWORKDAYS(DATE(2027,1,1),EOMONTH(DATE(2027,1,1),0))-F5</f>
        <v>3</v>
      </c>
      <c r="F5" s="14">
        <f>NETWORKDAYS(DATE(2027,1,1),EOMONTH(DATE(2027,1,1),0),Sarbatori2027)</f>
        <v>18</v>
      </c>
      <c r="G5" s="15">
        <f t="shared" ref="G5:G16" si="0">F5*8</f>
        <v>144</v>
      </c>
    </row>
    <row r="6" spans="2:7" x14ac:dyDescent="0.25">
      <c r="B6" s="19" t="s">
        <v>84</v>
      </c>
      <c r="C6" s="15">
        <f>DAY(EOMONTH(DATE(2027,2,1),0))</f>
        <v>28</v>
      </c>
      <c r="D6" s="15">
        <f>C6-NETWORKDAYS(DATE(2027,2,1),EOMONTH(DATE(2027,2,1),0))</f>
        <v>8</v>
      </c>
      <c r="E6" s="15">
        <f>NETWORKDAYS(DATE(2027,2,1),EOMONTH(DATE(2027,2,1),0))-F6</f>
        <v>0</v>
      </c>
      <c r="F6" s="14">
        <f>NETWORKDAYS(DATE(2027,2,1),EOMONTH(DATE(2027,2,1),0),Sarbatori2027)</f>
        <v>20</v>
      </c>
      <c r="G6" s="15">
        <f t="shared" si="0"/>
        <v>160</v>
      </c>
    </row>
    <row r="7" spans="2:7" x14ac:dyDescent="0.25">
      <c r="B7" s="19" t="s">
        <v>85</v>
      </c>
      <c r="C7" s="15">
        <f>DAY(EOMONTH(DATE(2027,3,1),0))</f>
        <v>31</v>
      </c>
      <c r="D7" s="15">
        <f>C7-NETWORKDAYS(DATE(2027,3,1),EOMONTH(DATE(2027,3,1),0))</f>
        <v>8</v>
      </c>
      <c r="E7" s="15">
        <f>NETWORKDAYS(DATE(2027,3,1),EOMONTH(DATE(2027,3,1),0))-F7</f>
        <v>0</v>
      </c>
      <c r="F7" s="14">
        <f>NETWORKDAYS(DATE(2027,3,1),EOMONTH(DATE(2027,3,1),0),Sarbatori2027)</f>
        <v>23</v>
      </c>
      <c r="G7" s="15">
        <f t="shared" si="0"/>
        <v>184</v>
      </c>
    </row>
    <row r="8" spans="2:7" x14ac:dyDescent="0.25">
      <c r="B8" s="19" t="s">
        <v>86</v>
      </c>
      <c r="C8" s="15">
        <f>DAY(EOMONTH(DATE(2027,4,1),0))</f>
        <v>30</v>
      </c>
      <c r="D8" s="15">
        <f>C8-NETWORKDAYS(DATE(2027,4,1),EOMONTH(DATE(2027,4,1),0))</f>
        <v>8</v>
      </c>
      <c r="E8" s="15">
        <f>NETWORKDAYS(DATE(2027,4,1),EOMONTH(DATE(2027,4,1),0))-F8</f>
        <v>1</v>
      </c>
      <c r="F8" s="14">
        <f>NETWORKDAYS(DATE(2027,4,1),EOMONTH(DATE(2027,4,1),0),Sarbatori2027)</f>
        <v>21</v>
      </c>
      <c r="G8" s="15">
        <f t="shared" si="0"/>
        <v>168</v>
      </c>
    </row>
    <row r="9" spans="2:7" x14ac:dyDescent="0.25">
      <c r="B9" s="19" t="s">
        <v>87</v>
      </c>
      <c r="C9" s="15">
        <f>DAY(EOMONTH(DATE(2027,5,1),0))</f>
        <v>31</v>
      </c>
      <c r="D9" s="15">
        <f>C9-NETWORKDAYS(DATE(2027,5,1),EOMONTH(DATE(2027,5,1),0))</f>
        <v>10</v>
      </c>
      <c r="E9" s="15">
        <f>NETWORKDAYS(DATE(2027,5,1),EOMONTH(DATE(2027,5,1),0))-F9</f>
        <v>1</v>
      </c>
      <c r="F9" s="14">
        <f>NETWORKDAYS(DATE(2027,5,1),EOMONTH(DATE(2027,5,1),0),Sarbatori2027)</f>
        <v>20</v>
      </c>
      <c r="G9" s="15">
        <f t="shared" si="0"/>
        <v>160</v>
      </c>
    </row>
    <row r="10" spans="2:7" x14ac:dyDescent="0.25">
      <c r="B10" s="19" t="s">
        <v>88</v>
      </c>
      <c r="C10" s="15">
        <f>DAY(EOMONTH(DATE(2027,6,1),0))</f>
        <v>30</v>
      </c>
      <c r="D10" s="15">
        <f>C10-NETWORKDAYS(DATE(2027,6,1),EOMONTH(DATE(2027,6,1),0))</f>
        <v>8</v>
      </c>
      <c r="E10" s="15">
        <f>NETWORKDAYS(DATE(2027,6,1),EOMONTH(DATE(2027,6,1),0))-F10</f>
        <v>2</v>
      </c>
      <c r="F10" s="14">
        <f>NETWORKDAYS(DATE(2027,6,1),EOMONTH(DATE(2027,6,1),0),Sarbatori2027)</f>
        <v>20</v>
      </c>
      <c r="G10" s="15">
        <f t="shared" si="0"/>
        <v>160</v>
      </c>
    </row>
    <row r="11" spans="2:7" x14ac:dyDescent="0.25">
      <c r="B11" s="19" t="s">
        <v>89</v>
      </c>
      <c r="C11" s="15">
        <f>DAY(EOMONTH(DATE(2027,7,1),0))</f>
        <v>31</v>
      </c>
      <c r="D11" s="15">
        <f>C11-NETWORKDAYS(DATE(2027,7,1),EOMONTH(DATE(2027,7,1),0))</f>
        <v>9</v>
      </c>
      <c r="E11" s="15">
        <f>NETWORKDAYS(DATE(2027,7,1),EOMONTH(DATE(2027,7,1),0))-F11</f>
        <v>0</v>
      </c>
      <c r="F11" s="14">
        <f>NETWORKDAYS(DATE(2027,7,1),EOMONTH(DATE(2027,7,1),0),Sarbatori2027)</f>
        <v>22</v>
      </c>
      <c r="G11" s="15">
        <f t="shared" si="0"/>
        <v>176</v>
      </c>
    </row>
    <row r="12" spans="2:7" x14ac:dyDescent="0.25">
      <c r="B12" s="19" t="s">
        <v>90</v>
      </c>
      <c r="C12" s="15">
        <f>DAY(EOMONTH(DATE(2027,8,1),0))</f>
        <v>31</v>
      </c>
      <c r="D12" s="15">
        <f>C12-NETWORKDAYS(DATE(2027,8,1),EOMONTH(DATE(2027,8,1),0))</f>
        <v>9</v>
      </c>
      <c r="E12" s="15">
        <f>NETWORKDAYS(DATE(2027,8,1),EOMONTH(DATE(2027,8,1),0))-F12</f>
        <v>0</v>
      </c>
      <c r="F12" s="14">
        <f>NETWORKDAYS(DATE(2027,8,1),EOMONTH(DATE(2027,8,1),0),Sarbatori2027)</f>
        <v>22</v>
      </c>
      <c r="G12" s="15">
        <f t="shared" si="0"/>
        <v>176</v>
      </c>
    </row>
    <row r="13" spans="2:7" x14ac:dyDescent="0.25">
      <c r="B13" s="19" t="s">
        <v>91</v>
      </c>
      <c r="C13" s="15">
        <f>DAY(EOMONTH(DATE(2027,9,1),0))</f>
        <v>30</v>
      </c>
      <c r="D13" s="15">
        <f>C13-NETWORKDAYS(DATE(2027,9,1),EOMONTH(DATE(2027,9,1),0))</f>
        <v>8</v>
      </c>
      <c r="E13" s="15">
        <f>NETWORKDAYS(DATE(2027,9,1),EOMONTH(DATE(2027,9,1),0))-F13</f>
        <v>0</v>
      </c>
      <c r="F13" s="14">
        <f>NETWORKDAYS(DATE(2027,9,1),EOMONTH(DATE(2027,9,1),0),Sarbatori2027)</f>
        <v>22</v>
      </c>
      <c r="G13" s="15">
        <f t="shared" si="0"/>
        <v>176</v>
      </c>
    </row>
    <row r="14" spans="2:7" x14ac:dyDescent="0.25">
      <c r="B14" s="19" t="s">
        <v>92</v>
      </c>
      <c r="C14" s="15">
        <f>DAY(EOMONTH(DATE(2027,10,1),0))</f>
        <v>31</v>
      </c>
      <c r="D14" s="15">
        <f>C14-NETWORKDAYS(DATE(2027,10,1),EOMONTH(DATE(2027,10,1),0))</f>
        <v>10</v>
      </c>
      <c r="E14" s="15">
        <f>NETWORKDAYS(DATE(2027,10,1),EOMONTH(DATE(2027,10,1),0))-F14</f>
        <v>0</v>
      </c>
      <c r="F14" s="14">
        <f>NETWORKDAYS(DATE(2027,10,1),EOMONTH(DATE(2027,10,1),0),Sarbatori2027)</f>
        <v>21</v>
      </c>
      <c r="G14" s="15">
        <f t="shared" si="0"/>
        <v>168</v>
      </c>
    </row>
    <row r="15" spans="2:7" x14ac:dyDescent="0.25">
      <c r="B15" s="19" t="s">
        <v>93</v>
      </c>
      <c r="C15" s="15">
        <f>DAY(EOMONTH(DATE(2027,11,1),0))</f>
        <v>30</v>
      </c>
      <c r="D15" s="15">
        <f>C15-NETWORKDAYS(DATE(2027,11,1),EOMONTH(DATE(2027,11,1),0))</f>
        <v>8</v>
      </c>
      <c r="E15" s="15">
        <f>NETWORKDAYS(DATE(2027,11,1),EOMONTH(DATE(2027,11,1),0))-F15</f>
        <v>1</v>
      </c>
      <c r="F15" s="14">
        <f>NETWORKDAYS(DATE(2027,11,1),EOMONTH(DATE(2027,11,1),0),Sarbatori2027)</f>
        <v>21</v>
      </c>
      <c r="G15" s="15">
        <f t="shared" si="0"/>
        <v>168</v>
      </c>
    </row>
    <row r="16" spans="2:7" x14ac:dyDescent="0.25">
      <c r="B16" s="19" t="s">
        <v>94</v>
      </c>
      <c r="C16" s="15">
        <f>DAY(EOMONTH(DATE(2027,12,1),0))</f>
        <v>31</v>
      </c>
      <c r="D16" s="15">
        <f>C16-NETWORKDAYS(DATE(2027,12,1),EOMONTH(DATE(2027,12,1),0))</f>
        <v>8</v>
      </c>
      <c r="E16" s="15">
        <f>NETWORKDAYS(DATE(2027,12,1),EOMONTH(DATE(2027,12,1),0))-F16</f>
        <v>1</v>
      </c>
      <c r="F16" s="14">
        <f>NETWORKDAYS(DATE(2027,12,1),EOMONTH(DATE(2027,12,1),0),Sarbatori2027)</f>
        <v>22</v>
      </c>
      <c r="G16" s="15">
        <f t="shared" si="0"/>
        <v>176</v>
      </c>
    </row>
    <row r="17" spans="2:7" x14ac:dyDescent="0.25">
      <c r="B17" s="20" t="s">
        <v>95</v>
      </c>
      <c r="C17" s="11">
        <f>SUM(C5:C16)</f>
        <v>365</v>
      </c>
      <c r="D17" s="11">
        <f>SUM(D5:D16)</f>
        <v>104</v>
      </c>
      <c r="E17" s="11">
        <f>SUM(E5:E16)</f>
        <v>9</v>
      </c>
      <c r="F17" s="11">
        <f>SUM(F5:F16)</f>
        <v>252</v>
      </c>
      <c r="G17" s="11">
        <f>SUM(G5:G16)</f>
        <v>2016</v>
      </c>
    </row>
  </sheetData>
  <conditionalFormatting sqref="E5:E16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BFA7-4FB3-44D1-ACFA-EB140C3843F0}">
  <dimension ref="B1:B5"/>
  <sheetViews>
    <sheetView workbookViewId="0"/>
  </sheetViews>
  <sheetFormatPr baseColWidth="10" defaultRowHeight="12.75" x14ac:dyDescent="0.2"/>
  <cols>
    <col min="1" max="1" width="2.7109375" style="22" customWidth="1"/>
    <col min="2" max="16384" width="11.42578125" style="22"/>
  </cols>
  <sheetData>
    <row r="1" spans="2:2" ht="18.75" x14ac:dyDescent="0.3">
      <c r="B1" s="23" t="s">
        <v>96</v>
      </c>
    </row>
    <row r="3" spans="2:2" ht="15" x14ac:dyDescent="0.25">
      <c r="B3" s="24" t="s">
        <v>97</v>
      </c>
    </row>
    <row r="4" spans="2:2" ht="15" x14ac:dyDescent="0.25">
      <c r="B4" s="25" t="s">
        <v>98</v>
      </c>
    </row>
    <row r="5" spans="2:2" ht="15" x14ac:dyDescent="0.25">
      <c r="B5" s="26" t="s">
        <v>99</v>
      </c>
    </row>
  </sheetData>
  <hyperlinks>
    <hyperlink ref="B5" r:id="rId1" tooltip="Instrucțiuni și alte modele gratuite" xr:uid="{2B0D2897-676F-47F6-9B2A-AECD34FE12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Zile libere 2027</vt:lpstr>
      <vt:lpstr>Punți și minivacanțe</vt:lpstr>
      <vt:lpstr>Planificator concediu</vt:lpstr>
      <vt:lpstr>Zile lucrătoare 2027</vt:lpstr>
      <vt:lpstr>Despre model</vt:lpstr>
      <vt:lpstr>Sarbatori2027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Zile libere 2027: sărbătorile legale și minivacanțele</dc:title>
  <dc:subject>Model Excel gratuit în limba română</dc:subject>
  <dc:creator>Ray Moreno · modelexcel.ro</dc:creator>
  <cp:keywords>modelexcel.ro, model Excel, Zile libere 2027: sărbătorile legale și minivacanțele</cp:keywords>
  <dc:description>© 2026 Ray Moreno – modelexcel.ro. Model gratuit: îl poți folosi și adapta în activitatea ta. Nu este permisă revânzarea lui sau publicarea pe alte site-uri. https://modelexcel.ro/zile-libere-2027/</dc:description>
  <cp:lastModifiedBy>Ray Moreno · modelexcel.ro</cp:lastModifiedBy>
  <dcterms:created xsi:type="dcterms:W3CDTF">2026-10-11T20:39:29Z</dcterms:created>
  <dcterms:modified xsi:type="dcterms:W3CDTF">2026-10-13T17:31:54Z</dcterms:modified>
  <cp:category>Model Excel</cp:category>
</cp:coreProperties>
</file>